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state="hidden" r:id="rId4"/>
    <sheet name="отчет 2011" sheetId="5" state="hidden" r:id="rId5"/>
    <sheet name="смета 2012" sheetId="6" state="hidden" r:id="rId6"/>
    <sheet name="07 12г" sheetId="7" state="hidden" r:id="rId7"/>
    <sheet name="отчет12стар" sheetId="8" r:id="rId8"/>
    <sheet name="накопит" sheetId="9" state="hidden" r:id="rId9"/>
  </sheets>
  <definedNames>
    <definedName name="_xlnm.Print_Area" localSheetId="5">'смета 2012'!$A$1:$I$34</definedName>
  </definedNames>
  <calcPr fullCalcOnLoad="1"/>
</workbook>
</file>

<file path=xl/sharedStrings.xml><?xml version="1.0" encoding="utf-8"?>
<sst xmlns="http://schemas.openxmlformats.org/spreadsheetml/2006/main" count="720" uniqueCount="255">
  <si>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</si>
  <si>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</si>
  <si>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</si>
  <si>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</si>
  <si>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</si>
  <si>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</si>
  <si>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</si>
  <si>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</si>
  <si>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</si>
  <si>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</si>
  <si>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</si>
  <si>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</si>
  <si>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</si>
  <si>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</si>
  <si>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</si>
  <si>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</si>
  <si>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</si>
  <si>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</si>
  <si>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</si>
  <si>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</si>
  <si>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</si>
  <si>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</si>
  <si>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</si>
  <si>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</si>
  <si>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</si>
  <si>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</si>
  <si>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</si>
  <si>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</si>
  <si>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</si>
  <si>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</si>
  <si>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</si>
  <si>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</si>
  <si>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</si>
  <si>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</si>
  <si>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</si>
  <si>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</si>
  <si>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</si>
  <si>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</si>
  <si>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</si>
  <si>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</si>
  <si>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</si>
  <si>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</si>
  <si>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</si>
  <si>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</si>
  <si>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</si>
  <si>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</si>
  <si>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</si>
  <si>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</si>
  <si>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</si>
  <si>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</si>
  <si>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</si>
  <si>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</si>
  <si>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</si>
  <si>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</si>
  <si>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</si>
  <si>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</si>
  <si>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</si>
  <si>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</si>
  <si>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</si>
  <si>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</si>
  <si>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</si>
  <si>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</si>
  <si>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</si>
  <si>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</si>
  <si>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</si>
  <si>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</si>
  <si>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</si>
  <si>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</si>
  <si>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</si>
  <si>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</si>
  <si>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</si>
  <si>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</si>
  <si>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</si>
  <si>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 xml:space="preserve">Адрес: </t>
  </si>
  <si>
    <t>ООО "ОЖКС № 1"</t>
  </si>
  <si>
    <t>Претензий по управлению нет (да)</t>
  </si>
  <si>
    <t>Противопожарные мероприятия:  содержание и обслуживание вентканалов и шахт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</si>
  <si>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</si>
  <si>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</si>
  <si>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</si>
  <si>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</si>
  <si>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</si>
  <si>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</si>
  <si>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 xml:space="preserve">        Представитель собственников  - старший по дому Еремеева Р.В.,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</si>
  <si>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>ул. Медногорская, 34</t>
  </si>
  <si>
    <t>ОТЧЕТ
за  2009 г. о выполненнии условий  договора управления МКД 
№ 309/1 от 28.03.08г., заключенного между ООО "ОЖКС № 1" 
и собственниками многоквартирного дома
по адресу:  ул. Медногорская, 34</t>
  </si>
  <si>
    <t xml:space="preserve">Старший по дому                                                                                                                             Е.В. Еремеева                        </t>
  </si>
  <si>
    <t>ОТЧЕТ
о выполненных работах в 2008 году по договору управления МКД 
№ ____ от 28.03.2008 г., заключенного между ООО "ОЖКС №1" и собственниками многоквартирного дома
по адресу:  ул. Медногорская, 34</t>
  </si>
  <si>
    <t xml:space="preserve">        Представитель собственников  - старший по дому Еремеева Р.В., с одной стороны 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</si>
  <si>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</si>
  <si>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</si>
  <si>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</si>
  <si>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</si>
  <si>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 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</si>
  <si>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</si>
  <si>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</si>
  <si>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</si>
  <si>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</si>
  <si>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</si>
  <si>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</si>
  <si>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</si>
  <si>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</si>
  <si>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</si>
  <si>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</si>
  <si>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</si>
  <si>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</si>
  <si>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</si>
  <si>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</si>
  <si>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</si>
  <si>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</si>
  <si>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</si>
  <si>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</si>
  <si>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</si>
  <si>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</si>
  <si>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</si>
  <si>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</si>
  <si>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</si>
  <si>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</si>
  <si>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</si>
  <si>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</si>
  <si>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</si>
  <si>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</si>
  <si>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</si>
  <si>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</si>
  <si>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</si>
  <si>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</si>
  <si>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</si>
  <si>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</si>
  <si>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</si>
  <si>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</si>
  <si>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      Директор ООО "ОЖКС № 1"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</si>
  <si>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Е.В. Еремеева                        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</si>
  <si>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</si>
  <si>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</si>
  <si>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</si>
  <si>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</si>
  <si>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</si>
  <si>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</si>
  <si>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</si>
  <si>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Адрес: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</si>
  <si>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</si>
  <si>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</si>
  <si>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</si>
  <si>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</si>
  <si>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</si>
  <si>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</si>
  <si>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</si>
  <si>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</si>
  <si>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</si>
  <si>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</si>
  <si>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</si>
  <si>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</si>
  <si>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</si>
  <si>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</si>
  <si>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</si>
  <si>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</si>
  <si>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</si>
  <si>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</si>
  <si>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</si>
  <si>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</si>
  <si>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</si>
  <si>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</si>
  <si>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</si>
  <si>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</si>
  <si>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</si>
  <si>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</si>
  <si>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</si>
  <si>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</si>
  <si>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</si>
  <si>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</si>
  <si>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</si>
  <si>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</si>
  <si>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</si>
  <si>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</si>
  <si>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</si>
  <si>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</si>
  <si>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</si>
  <si>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</si>
  <si>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</si>
  <si>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</si>
  <si>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</si>
  <si>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</si>
  <si>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</si>
  <si>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</si>
  <si>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</si>
  <si>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</si>
  <si>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</si>
  <si>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</si>
  <si>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</si>
  <si>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</si>
  <si>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</si>
  <si>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</si>
  <si>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</si>
  <si>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</si>
  <si>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</si>
  <si>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</si>
  <si>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</si>
  <si>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</si>
  <si>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</si>
  <si>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</si>
  <si>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</si>
  <si>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</si>
  <si>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</si>
  <si>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</si>
  <si>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</si>
  <si>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Директор ООО "ОЖКС № 1"                                                         И.А. Ломов                                  </t>
  </si>
  <si>
    <t xml:space="preserve">   </t>
  </si>
  <si>
    <t>ОТЧЕТ
за  2010 г. о выполненнии условий  договора управления МКД 
№ 309/1 от 28.03.08г., заключенного между ООО "ОЖКС № 1" 
и собственниками многоквартирного дома
по адресу:  ул. Медногорская, 34</t>
  </si>
  <si>
    <t xml:space="preserve">                   Представитель собственников  - старший по дому Еремеева Р.В.,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</si>
  <si>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 xml:space="preserve">Старший по дому                                                                                  Е.В. Еремеева                        </t>
  </si>
  <si>
    <t>ОТЧЕТ
по  договору управления МКД 
№ 309/1 от 28.03.08г., заключенного между ООО "ОЖКС № 1" 
и собственниками многоквартирного дома
по адресу:  ул. Медногорская, 34</t>
  </si>
  <si>
    <t>Смета
расходов и доходов  на  2011 г.
по договору управления МКД 
№ 309/1 от 28.03.08г., заключенного между ООО "ОЖКС № 1" 
и собственниками многоквартирного дома
по адресу:  ул. Медногорская, 34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</si>
  <si>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</si>
  <si>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</si>
  <si>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Финансовый результат за 2011г. (+ экономия,- перерасход)                                                      </t>
  </si>
  <si>
    <t>ОТЧЕТ
за  2011г. о выполненнии условий  договора управления МКД 
№ 309/1 от 28.03.08г., заключенного между ООО "ОЖКС № 1" 
и собственниками многоквартирного дома
по адресу:  ул. Медногорская, 34</t>
  </si>
  <si>
    <t xml:space="preserve">                   Представитель собственников  - старший по дому ____________________________________, с одной стороны и Общество с Ограниченной Ответственностью "Октябрьский Жилкомсервис № 1" в лице директора ____________________________, действующей на основании Устава,  с другой стороны, составили настоящий отчет о выполненных работах в 2011 году.  </t>
  </si>
  <si>
    <t>Директор ООО "ОЖКС № 1"                                             ______________________</t>
  </si>
  <si>
    <t xml:space="preserve">Старший по дому                                                                   ______________________              </t>
  </si>
  <si>
    <t>Смета
расходов и доходов  на  2012 г.
по договору управления МКД 
№ 309/1 от 28.03.08г., заключенного между ООО "ОЖКС № 1" 
и собственниками многоквартирного дома
по адресу:  ул. Медногорская, 34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</si>
  <si>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</si>
  <si>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</si>
  <si>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</si>
  <si>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Директор ООО "ОЖКС № 1"                                                       А.В. Яроцкова                                      </t>
  </si>
  <si>
    <t>Тариф 
на 1 кв.м. июль-декабрь 2012г.
руб.</t>
  </si>
  <si>
    <t>Стоимость работ
июль-декабрь 2012г.             руб.</t>
  </si>
  <si>
    <t>Расчет стоимости договора и тарифа 1 м2 на 2012г.</t>
  </si>
  <si>
    <t>Тариф с 1 июля 2012 г. - 11,21 руб., капитальный ремонт - 0,80 руб.</t>
  </si>
  <si>
    <t xml:space="preserve">         Приложение №7 к Договору на оказание услуг и  выполнение работ по содержанию, текущему и   капитальному        
ремонту общего имущества МКД 
№ ___ от "____"___________2012г.</t>
  </si>
  <si>
    <t>5=гр.4*Sдома*6мес.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</si>
  <si>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</si>
  <si>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</si>
  <si>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</si>
  <si>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</si>
  <si>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по плану работ</t>
  </si>
  <si>
    <t>ОТЧЕТ
за  2012г. о выполненнии условий  договора управления МКД 
№ 309/1 от 28.03.08г., заключенного между ООО "ОЖКС № 1" 
и собственниками многоквартирного дома
по адресу:  ул. Медногорская, 34</t>
  </si>
  <si>
    <t xml:space="preserve">                   Представитель собственников  - старший по дому ____________________________________,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</si>
  <si>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</si>
  <si>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80, 1 нежилое помещение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</si>
  <si>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</si>
  <si>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</si>
  <si>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</si>
  <si>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</si>
  <si>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</si>
  <si>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</si>
  <si>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</si>
  <si>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</si>
  <si>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</si>
  <si>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 xml:space="preserve">Директор ООО "ОЖКС № 1"                                 </t>
  </si>
  <si>
    <t>____________ Д.В. Зенгер</t>
  </si>
  <si>
    <t xml:space="preserve">Финансовый результат </t>
  </si>
  <si>
    <t>по договору управления подтверждаю:</t>
  </si>
  <si>
    <t xml:space="preserve">Старший по дому      </t>
  </si>
  <si>
    <t>_______________/________/</t>
  </si>
  <si>
    <t>Исполнитель: Стыценкова И.А.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</si>
</sst>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_ ;[Red]\-#,##0.000\ "/>
    <numFmt numFmtId="171" formatCode="#,##0_ ;[Red]\-#,##0\ "/>
    <numFmt numFmtId="172" formatCode="0.0"/>
  </numFmts>
  <fonts count="1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0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5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4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10" fillId="0" borderId="18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0" fillId="0" borderId="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2">
      <selection activeCell="E10" sqref="E1:E16384"/>
    </sheetView>
  </sheetViews>
  <sheetFormatPr defaultColWidth="9.00390625" defaultRowHeight="15.75"/>
  <cols>
    <col min="1" max="1" width="4.875" style="0" customWidth="1"/>
    <col min="2" max="2" width="63.375" style="0" customWidth="1"/>
    <col min="3" max="3" width="7.00390625" style="0" customWidth="1"/>
    <col min="4" max="4" width="12.75390625" style="0" customWidth="1"/>
    <col min="5" max="5" width="14.00390625" style="0" hidden="1" customWidth="1"/>
  </cols>
  <sheetData>
    <row r="1" spans="1:4" ht="104.25" customHeight="1">
      <c r="A1" s="197" t="s">
        <v>87</v>
      </c>
      <c r="B1" s="197"/>
      <c r="C1" s="197"/>
      <c r="D1" s="197"/>
    </row>
    <row r="2" spans="1:4" ht="87.75" customHeight="1">
      <c r="A2" s="198" t="s">
        <v>88</v>
      </c>
      <c r="B2" s="198"/>
      <c r="C2" s="198"/>
      <c r="D2" s="198"/>
    </row>
    <row r="3" spans="1:5" ht="39" customHeight="1">
      <c r="A3" s="22" t="s">
        <v>89</v>
      </c>
      <c r="B3" s="22" t="s">
        <v>90</v>
      </c>
      <c r="C3" s="11" t="s">
        <v>91</v>
      </c>
      <c r="D3" s="50" t="s">
        <v>92</v>
      </c>
      <c r="E3" s="50" t="s">
        <v>93</v>
      </c>
    </row>
    <row r="4" spans="1:5" ht="18.75" customHeight="1">
      <c r="A4" s="51" t="s">
        <v>94</v>
      </c>
      <c r="B4" s="52" t="s">
        <v>95</v>
      </c>
      <c r="C4" s="11" t="s">
        <v>96</v>
      </c>
      <c r="D4" s="53">
        <v>5</v>
      </c>
      <c r="E4" s="53">
        <f>D4</f>
        <v>5</v>
      </c>
    </row>
    <row r="5" spans="1:5" ht="15.75">
      <c r="A5" s="54" t="s">
        <v>97</v>
      </c>
      <c r="B5" s="55" t="s">
        <v>98</v>
      </c>
      <c r="C5" s="56" t="s">
        <v>99</v>
      </c>
      <c r="D5" s="57">
        <v>3573.4</v>
      </c>
      <c r="E5" s="58">
        <f>D5</f>
        <v>3573.4</v>
      </c>
    </row>
    <row r="6" spans="1:5" ht="15.75">
      <c r="A6" s="54" t="s">
        <v>100</v>
      </c>
      <c r="B6" s="55" t="s">
        <v>101</v>
      </c>
      <c r="C6" s="56" t="s">
        <v>96</v>
      </c>
      <c r="D6" s="59">
        <v>80</v>
      </c>
      <c r="E6" s="59">
        <f>D6</f>
        <v>80</v>
      </c>
    </row>
    <row r="7" spans="1:5" ht="15.75">
      <c r="A7" s="54" t="s">
        <v>102</v>
      </c>
      <c r="B7" s="55" t="s">
        <v>103</v>
      </c>
      <c r="C7" s="49"/>
      <c r="D7" s="57"/>
      <c r="E7" s="57"/>
    </row>
    <row r="8" spans="1:5" ht="15.75">
      <c r="A8" s="60" t="s">
        <v>104</v>
      </c>
      <c r="B8" s="55" t="s">
        <v>105</v>
      </c>
      <c r="C8" s="49"/>
      <c r="D8" s="57"/>
      <c r="E8" s="57"/>
    </row>
    <row r="9" spans="1:5" ht="17.25" customHeight="1">
      <c r="A9" s="61"/>
      <c r="B9" s="34" t="s">
        <v>106</v>
      </c>
      <c r="C9" s="49" t="s">
        <v>107</v>
      </c>
      <c r="D9" s="57">
        <v>258331.4</v>
      </c>
      <c r="E9" s="57">
        <f>D9</f>
        <v>258331.4</v>
      </c>
    </row>
    <row r="10" spans="1:5" ht="16.5" customHeight="1">
      <c r="A10" s="61"/>
      <c r="B10" s="34" t="s">
        <v>108</v>
      </c>
      <c r="C10" s="49" t="s">
        <v>107</v>
      </c>
      <c r="D10" s="57">
        <v>238758.7</v>
      </c>
      <c r="E10" s="57">
        <f>D10</f>
        <v>238758.7</v>
      </c>
    </row>
    <row r="11" spans="1:5" ht="15.75">
      <c r="A11" s="61"/>
      <c r="B11" s="55" t="s">
        <v>109</v>
      </c>
      <c r="C11" s="56" t="s">
        <v>107</v>
      </c>
      <c r="D11" s="62">
        <f>D9-D10</f>
        <v>19572.699999999983</v>
      </c>
      <c r="E11" s="62">
        <f>E9-E10</f>
        <v>19572.699999999983</v>
      </c>
    </row>
    <row r="12" spans="1:5" ht="18" customHeight="1">
      <c r="A12" s="60" t="s">
        <v>110</v>
      </c>
      <c r="B12" s="55" t="s">
        <v>111</v>
      </c>
      <c r="C12" s="49"/>
      <c r="D12" s="57"/>
      <c r="E12" s="57"/>
    </row>
    <row r="13" spans="1:5" ht="15.75">
      <c r="A13" s="61"/>
      <c r="B13" s="34" t="s">
        <v>106</v>
      </c>
      <c r="C13" s="49" t="s">
        <v>107</v>
      </c>
      <c r="D13" s="57">
        <v>18991.44</v>
      </c>
      <c r="E13" s="57">
        <v>0</v>
      </c>
    </row>
    <row r="14" spans="1:5" ht="15.75" customHeight="1">
      <c r="A14" s="61"/>
      <c r="B14" s="34" t="s">
        <v>108</v>
      </c>
      <c r="C14" s="49" t="s">
        <v>107</v>
      </c>
      <c r="D14" s="57">
        <v>18335.85</v>
      </c>
      <c r="E14" s="57">
        <v>0</v>
      </c>
    </row>
    <row r="15" spans="1:5" ht="15.75" customHeight="1">
      <c r="A15" s="61"/>
      <c r="B15" s="55" t="s">
        <v>109</v>
      </c>
      <c r="C15" s="56" t="s">
        <v>107</v>
      </c>
      <c r="D15" s="62">
        <f>D13-D14</f>
        <v>655.5900000000001</v>
      </c>
      <c r="E15" s="62">
        <f>E13-E14</f>
        <v>0</v>
      </c>
    </row>
    <row r="16" spans="1:5" ht="15" customHeight="1">
      <c r="A16" s="63" t="s">
        <v>112</v>
      </c>
      <c r="B16" s="55" t="s">
        <v>113</v>
      </c>
      <c r="C16" s="49"/>
      <c r="D16" s="64"/>
      <c r="E16" s="64"/>
    </row>
    <row r="17" spans="1:5" ht="15.75">
      <c r="A17" s="65"/>
      <c r="B17" s="34" t="s">
        <v>106</v>
      </c>
      <c r="C17" s="49" t="s">
        <v>107</v>
      </c>
      <c r="D17" s="64">
        <v>1249.2</v>
      </c>
      <c r="E17" s="64">
        <f>D17</f>
        <v>1249.2</v>
      </c>
    </row>
    <row r="18" spans="1:5" ht="15.75" customHeight="1">
      <c r="A18" s="65"/>
      <c r="B18" s="34" t="s">
        <v>108</v>
      </c>
      <c r="C18" s="49" t="s">
        <v>107</v>
      </c>
      <c r="D18" s="64">
        <v>1212.26</v>
      </c>
      <c r="E18" s="64">
        <f>D18</f>
        <v>1212.26</v>
      </c>
    </row>
    <row r="19" spans="1:5" ht="15.75">
      <c r="A19" s="65"/>
      <c r="B19" s="55" t="s">
        <v>109</v>
      </c>
      <c r="C19" s="49" t="s">
        <v>107</v>
      </c>
      <c r="D19" s="66">
        <f>D17-D18</f>
        <v>36.940000000000055</v>
      </c>
      <c r="E19" s="66">
        <f>E17-E18</f>
        <v>36.940000000000055</v>
      </c>
    </row>
    <row r="20" spans="1:5" ht="24.75" customHeight="1">
      <c r="A20" s="61"/>
      <c r="B20" s="55" t="s">
        <v>114</v>
      </c>
      <c r="C20" s="49" t="s">
        <v>107</v>
      </c>
      <c r="D20" s="62">
        <f>D9+D13+D17</f>
        <v>278572.04</v>
      </c>
      <c r="E20" s="62">
        <f>E9+E13+E17</f>
        <v>259580.6</v>
      </c>
    </row>
    <row r="21" spans="1:5" ht="21" customHeight="1">
      <c r="A21" s="61"/>
      <c r="B21" s="55" t="s">
        <v>115</v>
      </c>
      <c r="C21" s="49" t="s">
        <v>107</v>
      </c>
      <c r="D21" s="62">
        <f>D11+D15+D19</f>
        <v>20265.22999999998</v>
      </c>
      <c r="E21" s="62">
        <f>E11+E15+E19</f>
        <v>19609.63999999998</v>
      </c>
    </row>
    <row r="22" spans="1:5" ht="18" customHeight="1">
      <c r="A22" s="54" t="s">
        <v>116</v>
      </c>
      <c r="B22" s="67" t="s">
        <v>117</v>
      </c>
      <c r="C22" s="49"/>
      <c r="D22" s="57"/>
      <c r="E22" s="57"/>
    </row>
    <row r="23" spans="1:5" ht="74.25" customHeight="1">
      <c r="A23" s="68" t="s">
        <v>118</v>
      </c>
      <c r="B23" s="69" t="s">
        <v>119</v>
      </c>
      <c r="C23" s="56" t="s">
        <v>107</v>
      </c>
      <c r="D23" s="62">
        <f>D9*0.11</f>
        <v>28416.453999999998</v>
      </c>
      <c r="E23" s="62">
        <f>E9*0.11</f>
        <v>28416.453999999998</v>
      </c>
    </row>
    <row r="24" spans="1:5" ht="91.5" customHeight="1">
      <c r="A24" s="68" t="s">
        <v>120</v>
      </c>
      <c r="B24" s="69" t="s">
        <v>121</v>
      </c>
      <c r="C24" s="56" t="s">
        <v>107</v>
      </c>
      <c r="D24" s="62">
        <f>D9*0.7</f>
        <v>180831.97999999998</v>
      </c>
      <c r="E24" s="62">
        <f>E9*0.7</f>
        <v>180831.97999999998</v>
      </c>
    </row>
    <row r="25" spans="1:5" ht="14.25" customHeight="1">
      <c r="A25" s="68" t="s">
        <v>122</v>
      </c>
      <c r="B25" s="55" t="s">
        <v>123</v>
      </c>
      <c r="C25" s="56" t="s">
        <v>107</v>
      </c>
      <c r="D25" s="70">
        <v>113800</v>
      </c>
      <c r="E25" s="70">
        <f>D25</f>
        <v>113800</v>
      </c>
    </row>
    <row r="26" spans="1:5" ht="17.25" customHeight="1">
      <c r="A26" s="68" t="s">
        <v>124</v>
      </c>
      <c r="B26" s="55" t="s">
        <v>125</v>
      </c>
      <c r="C26" s="56" t="s">
        <v>107</v>
      </c>
      <c r="D26" s="70">
        <v>0</v>
      </c>
      <c r="E26" s="70">
        <v>0</v>
      </c>
    </row>
    <row r="27" spans="1:5" ht="15.75">
      <c r="A27" s="61"/>
      <c r="B27" s="55" t="s">
        <v>126</v>
      </c>
      <c r="C27" s="56" t="s">
        <v>107</v>
      </c>
      <c r="D27" s="62">
        <f>D23+D24+D25+D26</f>
        <v>323048.434</v>
      </c>
      <c r="E27" s="62">
        <f>E23+E24+E25+E26</f>
        <v>323048.434</v>
      </c>
    </row>
    <row r="28" spans="1:5" ht="15.75">
      <c r="A28" s="60" t="s">
        <v>56</v>
      </c>
      <c r="B28" s="55" t="s">
        <v>127</v>
      </c>
      <c r="C28" s="49" t="s">
        <v>107</v>
      </c>
      <c r="D28" s="57">
        <f>D20-D27</f>
        <v>-44476.39400000003</v>
      </c>
      <c r="E28" s="57">
        <f>E20-E27</f>
        <v>-63467.834</v>
      </c>
    </row>
    <row r="29" spans="1:5" ht="31.5">
      <c r="A29" s="68" t="s">
        <v>128</v>
      </c>
      <c r="B29" s="69" t="s">
        <v>129</v>
      </c>
      <c r="C29" s="49" t="s">
        <v>107</v>
      </c>
      <c r="D29" s="57">
        <f>D28-D21</f>
        <v>-64741.62400000001</v>
      </c>
      <c r="E29" s="57">
        <f>E28-E21</f>
        <v>-83077.47399999999</v>
      </c>
    </row>
    <row r="30" spans="1:4" ht="15.75">
      <c r="A30" s="71"/>
      <c r="B30" s="72"/>
      <c r="C30" s="73"/>
      <c r="D30" s="73"/>
    </row>
    <row r="31" spans="1:4" ht="17.25" customHeight="1">
      <c r="A31" s="33"/>
      <c r="B31" s="199" t="s">
        <v>130</v>
      </c>
      <c r="C31" s="199"/>
      <c r="D31" s="199"/>
    </row>
    <row r="32" spans="2:4" ht="15.75">
      <c r="B32" s="74"/>
      <c r="C32" s="74"/>
      <c r="D32" s="74"/>
    </row>
    <row r="33" spans="2:4" ht="15.75">
      <c r="B33" s="75" t="s">
        <v>72</v>
      </c>
      <c r="C33" s="75"/>
      <c r="D33" s="75"/>
    </row>
    <row r="34" spans="2:4" ht="15.75">
      <c r="B34" s="200" t="s">
        <v>131</v>
      </c>
      <c r="C34" s="200"/>
      <c r="D34" s="200"/>
    </row>
    <row r="35" spans="2:4" ht="15.75">
      <c r="B35" s="196" t="s">
        <v>75</v>
      </c>
      <c r="C35" s="196"/>
      <c r="D35" s="196"/>
    </row>
  </sheetData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8">
      <selection activeCell="A44" sqref="A44:G4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7.5" customHeight="1">
      <c r="A1" s="212" t="s">
        <v>85</v>
      </c>
      <c r="B1" s="212"/>
      <c r="C1" s="212"/>
      <c r="D1" s="212"/>
      <c r="E1" s="212"/>
      <c r="F1" s="212"/>
      <c r="G1" s="212"/>
      <c r="H1" s="212"/>
    </row>
    <row r="2" spans="1:8" ht="61.5" customHeight="1">
      <c r="A2" s="213" t="s">
        <v>83</v>
      </c>
      <c r="B2" s="213"/>
      <c r="C2" s="213"/>
      <c r="D2" s="213"/>
      <c r="E2" s="213"/>
      <c r="F2" s="213"/>
      <c r="G2" s="213"/>
      <c r="H2" s="213"/>
    </row>
    <row r="3" spans="1:6" ht="18.75">
      <c r="A3" s="1" t="s">
        <v>73</v>
      </c>
      <c r="B3" s="1" t="s">
        <v>84</v>
      </c>
      <c r="C3" s="2"/>
      <c r="D3" s="2" t="s">
        <v>0</v>
      </c>
      <c r="E3" s="26">
        <v>3573.4</v>
      </c>
      <c r="F3" s="2"/>
    </row>
    <row r="4" spans="2:6" ht="15.75">
      <c r="B4" s="3" t="s">
        <v>1</v>
      </c>
      <c r="C4" s="44">
        <v>5</v>
      </c>
      <c r="D4" s="2" t="s">
        <v>2</v>
      </c>
      <c r="E4" s="27">
        <v>80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55</v>
      </c>
      <c r="B7" s="193"/>
      <c r="C7" s="193"/>
      <c r="D7" s="193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94" t="s">
        <v>59</v>
      </c>
      <c r="C8" s="195"/>
      <c r="D8" s="195"/>
      <c r="E8" s="195"/>
      <c r="F8" s="187"/>
      <c r="G8" s="15"/>
      <c r="H8" s="16"/>
    </row>
    <row r="9" spans="1:8" ht="15.75">
      <c r="A9" s="22"/>
      <c r="B9" s="209" t="s">
        <v>60</v>
      </c>
      <c r="C9" s="209"/>
      <c r="D9" s="209"/>
      <c r="E9" s="209"/>
      <c r="F9" s="209"/>
      <c r="G9" s="15"/>
      <c r="H9" s="30">
        <v>32367.59</v>
      </c>
    </row>
    <row r="10" spans="1:8" ht="15.75">
      <c r="A10" s="22">
        <v>1</v>
      </c>
      <c r="B10" s="191" t="s">
        <v>57</v>
      </c>
      <c r="C10" s="191"/>
      <c r="D10" s="191"/>
      <c r="E10" s="191"/>
      <c r="F10" s="191"/>
      <c r="G10" s="15"/>
      <c r="H10" s="34">
        <v>372473.05</v>
      </c>
    </row>
    <row r="11" spans="1:8" ht="15.75">
      <c r="A11" s="22"/>
      <c r="B11" s="191" t="s">
        <v>61</v>
      </c>
      <c r="C11" s="191"/>
      <c r="D11" s="191"/>
      <c r="E11" s="191"/>
      <c r="F11" s="191"/>
      <c r="G11" s="15"/>
      <c r="H11" s="35">
        <f>H10*0.9</f>
        <v>335225.745</v>
      </c>
    </row>
    <row r="12" spans="1:8" ht="15.75" customHeight="1">
      <c r="A12" s="22"/>
      <c r="B12" s="191" t="s">
        <v>62</v>
      </c>
      <c r="C12" s="191"/>
      <c r="D12" s="191"/>
      <c r="E12" s="191"/>
      <c r="F12" s="191"/>
      <c r="G12" s="15"/>
      <c r="H12" s="35">
        <f>H10-H11</f>
        <v>37247.30499999999</v>
      </c>
    </row>
    <row r="13" spans="1:8" ht="15.75" customHeight="1">
      <c r="A13" s="22">
        <v>2</v>
      </c>
      <c r="B13" s="191" t="s">
        <v>58</v>
      </c>
      <c r="C13" s="191"/>
      <c r="D13" s="191"/>
      <c r="E13" s="191"/>
      <c r="F13" s="191"/>
      <c r="G13" s="15"/>
      <c r="H13" s="34">
        <v>353796.09</v>
      </c>
    </row>
    <row r="14" spans="1:8" ht="15.75" customHeight="1">
      <c r="A14" s="22">
        <v>3</v>
      </c>
      <c r="B14" s="191" t="s">
        <v>63</v>
      </c>
      <c r="C14" s="191"/>
      <c r="D14" s="191"/>
      <c r="E14" s="191"/>
      <c r="F14" s="191"/>
      <c r="G14" s="15"/>
      <c r="H14" s="35">
        <f>H10-H13</f>
        <v>18676.959999999963</v>
      </c>
    </row>
    <row r="15" spans="1:8" ht="15.75" customHeight="1">
      <c r="A15" s="22">
        <v>4</v>
      </c>
      <c r="B15" s="209" t="s">
        <v>64</v>
      </c>
      <c r="C15" s="209"/>
      <c r="D15" s="209"/>
      <c r="E15" s="209"/>
      <c r="F15" s="209"/>
      <c r="G15" s="15"/>
      <c r="H15" s="36">
        <f>H9+H10-H13</f>
        <v>51044.54999999999</v>
      </c>
    </row>
    <row r="16" spans="1:8" ht="18.75">
      <c r="A16" s="22">
        <v>5</v>
      </c>
      <c r="B16" s="192" t="s">
        <v>68</v>
      </c>
      <c r="C16" s="192"/>
      <c r="D16" s="192"/>
      <c r="E16" s="192"/>
      <c r="F16" s="192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216" t="s">
        <v>18</v>
      </c>
      <c r="C18" s="216"/>
      <c r="D18" s="216"/>
      <c r="E18" s="6" t="s">
        <v>32</v>
      </c>
      <c r="F18" s="6" t="s">
        <v>24</v>
      </c>
      <c r="G18" s="12">
        <v>0.9</v>
      </c>
      <c r="H18" s="39">
        <f>ROUND(G18*$E$3*12,2)</f>
        <v>38592.72</v>
      </c>
    </row>
    <row r="19" spans="1:8" ht="15.75">
      <c r="A19" s="29" t="s">
        <v>42</v>
      </c>
      <c r="B19" s="216" t="s">
        <v>17</v>
      </c>
      <c r="C19" s="216"/>
      <c r="D19" s="21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11149.01</v>
      </c>
    </row>
    <row r="20" spans="1:8" ht="15.75">
      <c r="A20" s="28" t="s">
        <v>43</v>
      </c>
      <c r="B20" s="214" t="s">
        <v>23</v>
      </c>
      <c r="C20" s="214"/>
      <c r="D20" s="214"/>
      <c r="E20" s="7" t="s">
        <v>8</v>
      </c>
      <c r="F20" s="7" t="s">
        <v>20</v>
      </c>
      <c r="G20" s="12">
        <v>0.32</v>
      </c>
      <c r="H20" s="39">
        <f t="shared" si="0"/>
        <v>13721.86</v>
      </c>
    </row>
    <row r="21" spans="1:8" ht="33" customHeight="1">
      <c r="A21" s="29" t="s">
        <v>44</v>
      </c>
      <c r="B21" s="219" t="s">
        <v>31</v>
      </c>
      <c r="C21" s="219"/>
      <c r="D21" s="219"/>
      <c r="E21" s="8" t="s">
        <v>9</v>
      </c>
      <c r="F21" s="8" t="s">
        <v>10</v>
      </c>
      <c r="G21" s="12">
        <v>0.46</v>
      </c>
      <c r="H21" s="39">
        <f t="shared" si="0"/>
        <v>19725.17</v>
      </c>
    </row>
    <row r="22" spans="1:8" ht="63">
      <c r="A22" s="28" t="s">
        <v>47</v>
      </c>
      <c r="B22" s="214" t="s">
        <v>27</v>
      </c>
      <c r="C22" s="214"/>
      <c r="D22" s="214"/>
      <c r="E22" s="7" t="s">
        <v>34</v>
      </c>
      <c r="F22" s="7" t="s">
        <v>25</v>
      </c>
      <c r="G22" s="12">
        <v>0.11</v>
      </c>
      <c r="H22" s="39">
        <f t="shared" si="0"/>
        <v>4716.89</v>
      </c>
    </row>
    <row r="23" spans="1:8" ht="31.5">
      <c r="A23" s="29" t="s">
        <v>45</v>
      </c>
      <c r="B23" s="214" t="s">
        <v>11</v>
      </c>
      <c r="C23" s="214"/>
      <c r="D23" s="214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214" t="s">
        <v>26</v>
      </c>
      <c r="C24" s="210"/>
      <c r="D24" s="210"/>
      <c r="E24" s="9" t="s">
        <v>13</v>
      </c>
      <c r="F24" s="9" t="s">
        <v>14</v>
      </c>
      <c r="G24" s="12">
        <v>0.04</v>
      </c>
      <c r="H24" s="39">
        <f t="shared" si="0"/>
        <v>1715.23</v>
      </c>
    </row>
    <row r="25" spans="1:8" ht="35.25" customHeight="1">
      <c r="A25" s="29" t="s">
        <v>48</v>
      </c>
      <c r="B25" s="191" t="s">
        <v>76</v>
      </c>
      <c r="C25" s="191"/>
      <c r="D25" s="191"/>
      <c r="E25" s="45" t="s">
        <v>13</v>
      </c>
      <c r="F25" s="46" t="s">
        <v>74</v>
      </c>
      <c r="G25" s="47">
        <v>0.22</v>
      </c>
      <c r="H25" s="48">
        <f t="shared" si="0"/>
        <v>9433.78</v>
      </c>
    </row>
    <row r="26" spans="1:8" ht="31.5">
      <c r="A26" s="28" t="s">
        <v>77</v>
      </c>
      <c r="B26" s="214" t="s">
        <v>35</v>
      </c>
      <c r="C26" s="214"/>
      <c r="D26" s="214"/>
      <c r="E26" s="6" t="s">
        <v>36</v>
      </c>
      <c r="F26" s="7" t="s">
        <v>74</v>
      </c>
      <c r="G26" s="12">
        <v>2.5</v>
      </c>
      <c r="H26" s="39">
        <f t="shared" si="0"/>
        <v>107202</v>
      </c>
    </row>
    <row r="27" spans="1:8" ht="31.5">
      <c r="A27" s="29" t="s">
        <v>78</v>
      </c>
      <c r="B27" s="216" t="s">
        <v>15</v>
      </c>
      <c r="C27" s="216"/>
      <c r="D27" s="216"/>
      <c r="E27" s="6" t="s">
        <v>36</v>
      </c>
      <c r="F27" s="7" t="s">
        <v>74</v>
      </c>
      <c r="G27" s="12">
        <v>0.38</v>
      </c>
      <c r="H27" s="39">
        <f t="shared" si="0"/>
        <v>16294.7</v>
      </c>
    </row>
    <row r="28" spans="1:8" ht="31.5">
      <c r="A28" s="28" t="s">
        <v>79</v>
      </c>
      <c r="B28" s="217" t="s">
        <v>37</v>
      </c>
      <c r="C28" s="218"/>
      <c r="D28" s="218"/>
      <c r="E28" s="6" t="s">
        <v>36</v>
      </c>
      <c r="F28" s="7" t="s">
        <v>74</v>
      </c>
      <c r="G28" s="13">
        <v>1.82</v>
      </c>
      <c r="H28" s="39">
        <f t="shared" si="0"/>
        <v>78043.06</v>
      </c>
    </row>
    <row r="29" spans="1:8" ht="31.5">
      <c r="A29" s="29" t="s">
        <v>80</v>
      </c>
      <c r="B29" s="214" t="s">
        <v>28</v>
      </c>
      <c r="C29" s="214"/>
      <c r="D29" s="214"/>
      <c r="E29" s="6" t="s">
        <v>36</v>
      </c>
      <c r="F29" s="7" t="s">
        <v>74</v>
      </c>
      <c r="G29" s="13">
        <v>0</v>
      </c>
      <c r="H29" s="39">
        <f t="shared" si="0"/>
        <v>0</v>
      </c>
    </row>
    <row r="30" spans="1:8" ht="31.5">
      <c r="A30" s="28" t="s">
        <v>81</v>
      </c>
      <c r="B30" s="214" t="s">
        <v>29</v>
      </c>
      <c r="C30" s="214"/>
      <c r="D30" s="214"/>
      <c r="E30" s="6" t="s">
        <v>36</v>
      </c>
      <c r="F30" s="7" t="s">
        <v>74</v>
      </c>
      <c r="G30" s="13">
        <v>0</v>
      </c>
      <c r="H30" s="39">
        <f t="shared" si="0"/>
        <v>0</v>
      </c>
    </row>
    <row r="31" spans="1:8" ht="31.5">
      <c r="A31" s="29" t="s">
        <v>49</v>
      </c>
      <c r="B31" s="210" t="s">
        <v>21</v>
      </c>
      <c r="C31" s="210"/>
      <c r="D31" s="210"/>
      <c r="E31" s="6" t="s">
        <v>36</v>
      </c>
      <c r="F31" s="7" t="s">
        <v>74</v>
      </c>
      <c r="G31" s="9">
        <v>0.88</v>
      </c>
      <c r="H31" s="39">
        <f t="shared" si="0"/>
        <v>37735.1</v>
      </c>
    </row>
    <row r="32" spans="1:8" ht="15.75">
      <c r="A32" s="22" t="s">
        <v>82</v>
      </c>
      <c r="B32" s="215" t="s">
        <v>30</v>
      </c>
      <c r="C32" s="215"/>
      <c r="D32" s="215"/>
      <c r="E32" s="14"/>
      <c r="F32" s="7"/>
      <c r="G32" s="20">
        <f>SUM(G18:G31)</f>
        <v>7.890000000000001</v>
      </c>
      <c r="H32" s="40">
        <f>SUM(H18:H31)</f>
        <v>338329.52</v>
      </c>
    </row>
    <row r="33" spans="1:8" ht="15.75">
      <c r="A33" s="22" t="s">
        <v>50</v>
      </c>
      <c r="B33" s="209" t="s">
        <v>38</v>
      </c>
      <c r="C33" s="210"/>
      <c r="D33" s="210"/>
      <c r="E33" s="14"/>
      <c r="F33" s="7" t="s">
        <v>74</v>
      </c>
      <c r="G33" s="23">
        <f>H33/E3/12</f>
        <v>3.938825768175967</v>
      </c>
      <c r="H33" s="24">
        <v>168900</v>
      </c>
    </row>
    <row r="34" spans="1:8" ht="18.75">
      <c r="A34" s="25" t="s">
        <v>51</v>
      </c>
      <c r="B34" s="211" t="s">
        <v>70</v>
      </c>
      <c r="C34" s="211"/>
      <c r="D34" s="211"/>
      <c r="E34" s="211"/>
      <c r="F34" s="211"/>
      <c r="G34" s="20">
        <f>SUM(G32:G33)</f>
        <v>11.828825768175967</v>
      </c>
      <c r="H34" s="41">
        <f>SUM(H32:H33)</f>
        <v>507229.52</v>
      </c>
    </row>
    <row r="35" spans="1:8" ht="15.75" customHeight="1">
      <c r="A35" s="22" t="s">
        <v>56</v>
      </c>
      <c r="B35" s="206" t="s">
        <v>39</v>
      </c>
      <c r="C35" s="207"/>
      <c r="D35" s="207"/>
      <c r="E35" s="207"/>
      <c r="F35" s="207"/>
      <c r="G35" s="208"/>
      <c r="H35" s="31"/>
    </row>
    <row r="36" spans="1:8" ht="15.75" customHeight="1">
      <c r="A36" s="22" t="s">
        <v>52</v>
      </c>
      <c r="B36" s="202" t="s">
        <v>65</v>
      </c>
      <c r="C36" s="203"/>
      <c r="D36" s="203"/>
      <c r="E36" s="203"/>
      <c r="F36" s="203"/>
      <c r="G36" s="204"/>
      <c r="H36" s="32">
        <v>-83077.47</v>
      </c>
    </row>
    <row r="37" spans="1:8" ht="15.75" customHeight="1">
      <c r="A37" s="22" t="s">
        <v>53</v>
      </c>
      <c r="B37" s="202" t="s">
        <v>66</v>
      </c>
      <c r="C37" s="203"/>
      <c r="D37" s="203"/>
      <c r="E37" s="203"/>
      <c r="F37" s="203"/>
      <c r="G37" s="204"/>
      <c r="H37" s="42">
        <f>H13-H34</f>
        <v>-153433.43</v>
      </c>
    </row>
    <row r="38" spans="1:8" ht="19.5" customHeight="1">
      <c r="A38" s="22" t="s">
        <v>54</v>
      </c>
      <c r="B38" s="202" t="s">
        <v>67</v>
      </c>
      <c r="C38" s="203"/>
      <c r="D38" s="203"/>
      <c r="E38" s="203"/>
      <c r="F38" s="203"/>
      <c r="G38" s="204"/>
      <c r="H38" s="42">
        <f>H36+H37</f>
        <v>-236510.9</v>
      </c>
    </row>
    <row r="39" spans="2:6" ht="15.75">
      <c r="B39" s="33"/>
      <c r="F39" s="33"/>
    </row>
    <row r="40" spans="2:6" ht="15.75" customHeight="1">
      <c r="B40" s="33"/>
      <c r="C40" s="33"/>
      <c r="D40" s="33"/>
      <c r="E40" s="33"/>
      <c r="F40" s="33"/>
    </row>
    <row r="41" spans="1:8" ht="15.75">
      <c r="A41" s="201" t="s">
        <v>71</v>
      </c>
      <c r="B41" s="201"/>
      <c r="C41" s="201"/>
      <c r="D41" s="201"/>
      <c r="E41" s="201"/>
      <c r="F41" s="201"/>
      <c r="G41" s="201"/>
      <c r="H41" s="201"/>
    </row>
    <row r="42" spans="1:3" ht="15.75">
      <c r="A42" s="33"/>
      <c r="B42" s="33"/>
      <c r="C42" s="33"/>
    </row>
    <row r="43" spans="1:3" ht="15.75">
      <c r="A43" s="43" t="s">
        <v>72</v>
      </c>
      <c r="B43" s="43"/>
      <c r="C43" s="43"/>
    </row>
    <row r="44" spans="1:7" ht="15.75" customHeight="1">
      <c r="A44" s="205" t="s">
        <v>86</v>
      </c>
      <c r="B44" s="205"/>
      <c r="C44" s="205"/>
      <c r="D44" s="205"/>
      <c r="E44" s="205"/>
      <c r="F44" s="205"/>
      <c r="G44" s="205"/>
    </row>
    <row r="45" spans="1:3" ht="15.75">
      <c r="A45" s="196" t="s">
        <v>75</v>
      </c>
      <c r="B45" s="196"/>
      <c r="C45" s="196"/>
    </row>
  </sheetData>
  <mergeCells count="36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27:D27"/>
    <mergeCell ref="B28:D28"/>
    <mergeCell ref="B21:D21"/>
    <mergeCell ref="B22:D22"/>
    <mergeCell ref="B23:D23"/>
    <mergeCell ref="B24:D24"/>
    <mergeCell ref="B25:D25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6:D26"/>
    <mergeCell ref="A41:H41"/>
    <mergeCell ref="A45:C45"/>
    <mergeCell ref="B36:G36"/>
    <mergeCell ref="B37:G37"/>
    <mergeCell ref="B38:G38"/>
    <mergeCell ref="A44:G44"/>
  </mergeCells>
  <printOptions/>
  <pageMargins left="0" right="0" top="0" bottom="0" header="0.5118110236220472" footer="0.196850393700787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1">
      <selection activeCell="B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9.875" style="0" customWidth="1"/>
    <col min="6" max="6" width="0.12890625" style="0" hidden="1" customWidth="1"/>
    <col min="7" max="7" width="7.50390625" style="0" hidden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7" t="s">
        <v>207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54" customHeight="1">
      <c r="A2" s="188" t="s">
        <v>208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9" ht="18.75">
      <c r="A3" s="1" t="s">
        <v>139</v>
      </c>
      <c r="B3" s="1" t="s">
        <v>84</v>
      </c>
      <c r="C3" s="2"/>
      <c r="D3" s="2" t="s">
        <v>0</v>
      </c>
      <c r="E3" s="26">
        <v>3573.4</v>
      </c>
      <c r="F3" s="2"/>
      <c r="H3" s="85">
        <v>42.7</v>
      </c>
      <c r="I3" s="85"/>
    </row>
    <row r="4" spans="2:8" ht="15.75">
      <c r="B4" s="3" t="s">
        <v>1</v>
      </c>
      <c r="C4" s="44">
        <v>5</v>
      </c>
      <c r="D4" s="2" t="s">
        <v>2</v>
      </c>
      <c r="E4" s="27">
        <v>80</v>
      </c>
      <c r="F4" s="2"/>
      <c r="H4" t="s">
        <v>99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141</v>
      </c>
    </row>
    <row r="7" spans="1:10" ht="39" customHeight="1">
      <c r="A7" s="21" t="s">
        <v>55</v>
      </c>
      <c r="B7" s="189" t="s">
        <v>142</v>
      </c>
      <c r="C7" s="190"/>
      <c r="D7" s="186"/>
      <c r="E7" s="11" t="s">
        <v>6</v>
      </c>
      <c r="F7" s="11" t="s">
        <v>7</v>
      </c>
      <c r="G7" s="86" t="s">
        <v>22</v>
      </c>
      <c r="H7" s="220" t="s">
        <v>143</v>
      </c>
      <c r="I7" s="221"/>
      <c r="J7" s="222"/>
    </row>
    <row r="8" spans="1:10" ht="15.75">
      <c r="A8" s="22">
        <v>1</v>
      </c>
      <c r="B8" s="194"/>
      <c r="C8" s="195"/>
      <c r="D8" s="195"/>
      <c r="E8" s="195"/>
      <c r="F8" s="187"/>
      <c r="G8" s="87"/>
      <c r="H8" s="88" t="s">
        <v>144</v>
      </c>
      <c r="I8" s="89" t="s">
        <v>145</v>
      </c>
      <c r="J8" s="89" t="s">
        <v>146</v>
      </c>
    </row>
    <row r="9" spans="1:10" ht="15.75">
      <c r="A9" s="22"/>
      <c r="B9" s="194" t="s">
        <v>147</v>
      </c>
      <c r="C9" s="195"/>
      <c r="D9" s="195"/>
      <c r="E9" s="195"/>
      <c r="F9" s="187"/>
      <c r="G9" s="90"/>
      <c r="H9" s="90"/>
      <c r="I9" s="56"/>
      <c r="J9" s="89"/>
    </row>
    <row r="10" spans="1:10" ht="15.75" customHeight="1">
      <c r="A10" s="91"/>
      <c r="B10" s="191" t="s">
        <v>148</v>
      </c>
      <c r="C10" s="191"/>
      <c r="D10" s="191"/>
      <c r="E10" s="191"/>
      <c r="F10" s="191"/>
      <c r="G10" s="15"/>
      <c r="H10" s="117">
        <v>357826.22</v>
      </c>
      <c r="I10" s="119"/>
      <c r="J10" s="117">
        <f>H10+I10</f>
        <v>357826.22</v>
      </c>
    </row>
    <row r="11" spans="1:10" ht="15.75" customHeight="1">
      <c r="A11" s="91"/>
      <c r="B11" s="191" t="s">
        <v>149</v>
      </c>
      <c r="C11" s="191"/>
      <c r="D11" s="191"/>
      <c r="E11" s="191"/>
      <c r="F11" s="191"/>
      <c r="G11" s="15"/>
      <c r="H11" s="117">
        <v>24059.6</v>
      </c>
      <c r="I11" s="119"/>
      <c r="J11" s="117">
        <f>H11+I11</f>
        <v>24059.6</v>
      </c>
    </row>
    <row r="12" spans="1:10" ht="15.75" customHeight="1">
      <c r="A12" s="22"/>
      <c r="B12" s="191" t="s">
        <v>150</v>
      </c>
      <c r="C12" s="191"/>
      <c r="D12" s="191"/>
      <c r="E12" s="191"/>
      <c r="F12" s="191"/>
      <c r="G12" s="15"/>
      <c r="H12" s="117"/>
      <c r="I12" s="119">
        <v>4631.12</v>
      </c>
      <c r="J12" s="117">
        <f>H12+I12</f>
        <v>4631.12</v>
      </c>
    </row>
    <row r="13" spans="1:10" ht="15.75">
      <c r="A13" s="22"/>
      <c r="B13" s="191" t="s">
        <v>151</v>
      </c>
      <c r="C13" s="191"/>
      <c r="D13" s="191"/>
      <c r="E13" s="191"/>
      <c r="F13" s="191"/>
      <c r="G13" s="15"/>
      <c r="H13" s="119">
        <v>0</v>
      </c>
      <c r="I13" s="119"/>
      <c r="J13" s="117">
        <f>H13+I13</f>
        <v>0</v>
      </c>
    </row>
    <row r="14" spans="1:10" ht="15.75" customHeight="1">
      <c r="A14" s="22"/>
      <c r="B14" s="209" t="s">
        <v>152</v>
      </c>
      <c r="C14" s="209"/>
      <c r="D14" s="209"/>
      <c r="E14" s="209"/>
      <c r="F14" s="209"/>
      <c r="G14" s="15"/>
      <c r="H14" s="124">
        <f>SUM(H10:H13)</f>
        <v>381885.81999999995</v>
      </c>
      <c r="I14" s="121">
        <f>SUM(I10:I12)</f>
        <v>4631.12</v>
      </c>
      <c r="J14" s="124">
        <f>SUM(J10:J13)</f>
        <v>386516.93999999994</v>
      </c>
    </row>
    <row r="15" spans="1:10" ht="18.75" customHeight="1">
      <c r="A15" s="22">
        <v>2</v>
      </c>
      <c r="B15" s="192" t="s">
        <v>68</v>
      </c>
      <c r="C15" s="192"/>
      <c r="D15" s="192"/>
      <c r="E15" s="192"/>
      <c r="F15" s="192"/>
      <c r="G15" s="15"/>
      <c r="H15" s="125"/>
      <c r="I15" s="126"/>
      <c r="J15" s="127"/>
    </row>
    <row r="16" spans="1:10" ht="15.75">
      <c r="A16" s="22" t="s">
        <v>136</v>
      </c>
      <c r="B16" s="18" t="s">
        <v>69</v>
      </c>
      <c r="C16" s="18"/>
      <c r="D16" s="18"/>
      <c r="E16" s="18"/>
      <c r="F16" s="5"/>
      <c r="G16" s="88"/>
      <c r="H16" s="118"/>
      <c r="I16" s="128"/>
      <c r="J16" s="129"/>
    </row>
    <row r="17" spans="1:10" ht="33.75" customHeight="1">
      <c r="A17" s="93"/>
      <c r="B17" s="223" t="s">
        <v>212</v>
      </c>
      <c r="C17" s="223"/>
      <c r="D17" s="223"/>
      <c r="E17" s="94" t="s">
        <v>32</v>
      </c>
      <c r="F17" s="81" t="s">
        <v>24</v>
      </c>
      <c r="G17" s="47">
        <v>0.92</v>
      </c>
      <c r="H17" s="130">
        <f>ROUND(G17*$E$3*12,2)</f>
        <v>39450.34</v>
      </c>
      <c r="I17" s="131">
        <f>$I$12*0.08</f>
        <v>370.4896</v>
      </c>
      <c r="J17" s="132">
        <f>SUM(H17:I17)</f>
        <v>39820.8296</v>
      </c>
    </row>
    <row r="18" spans="1:10" ht="17.25" customHeight="1">
      <c r="A18" s="22"/>
      <c r="B18" s="224" t="s">
        <v>17</v>
      </c>
      <c r="C18" s="224"/>
      <c r="D18" s="224"/>
      <c r="E18" s="94" t="s">
        <v>32</v>
      </c>
      <c r="F18" s="81" t="s">
        <v>19</v>
      </c>
      <c r="G18" s="47">
        <v>0.26</v>
      </c>
      <c r="H18" s="130">
        <f>ROUND(G18*$E$3*12,2)</f>
        <v>11149.01</v>
      </c>
      <c r="I18" s="131">
        <f>$I$12*0.02</f>
        <v>92.6224</v>
      </c>
      <c r="J18" s="132">
        <f aca="true" t="shared" si="0" ref="J18:J37">SUM(H18:I18)</f>
        <v>11241.6324</v>
      </c>
    </row>
    <row r="19" spans="1:10" ht="20.25" customHeight="1">
      <c r="A19" s="22"/>
      <c r="B19" s="225" t="s">
        <v>23</v>
      </c>
      <c r="C19" s="225"/>
      <c r="D19" s="225"/>
      <c r="E19" s="95" t="s">
        <v>153</v>
      </c>
      <c r="F19" s="46" t="s">
        <v>20</v>
      </c>
      <c r="G19" s="47">
        <v>0.35</v>
      </c>
      <c r="H19" s="130">
        <f>J19-I19</f>
        <v>10720.211599999999</v>
      </c>
      <c r="I19" s="131">
        <f>$I$12*0.07</f>
        <v>324.1784</v>
      </c>
      <c r="J19" s="132">
        <v>11044.39</v>
      </c>
    </row>
    <row r="20" spans="1:10" ht="20.25" customHeight="1">
      <c r="A20" s="93"/>
      <c r="B20" s="223" t="s">
        <v>31</v>
      </c>
      <c r="C20" s="223"/>
      <c r="D20" s="223"/>
      <c r="E20" s="96" t="s">
        <v>9</v>
      </c>
      <c r="F20" s="82" t="s">
        <v>10</v>
      </c>
      <c r="G20" s="47">
        <v>0.46</v>
      </c>
      <c r="H20" s="130">
        <f>ROUND(G20*$E$3*12,2)</f>
        <v>19725.17</v>
      </c>
      <c r="I20" s="131">
        <f>$I$12*0.04</f>
        <v>185.2448</v>
      </c>
      <c r="J20" s="132">
        <f t="shared" si="0"/>
        <v>19910.4148</v>
      </c>
    </row>
    <row r="21" spans="1:10" ht="49.5" customHeight="1">
      <c r="A21" s="22"/>
      <c r="B21" s="225" t="s">
        <v>27</v>
      </c>
      <c r="C21" s="225"/>
      <c r="D21" s="225"/>
      <c r="E21" s="95" t="s">
        <v>154</v>
      </c>
      <c r="F21" s="46" t="s">
        <v>25</v>
      </c>
      <c r="G21" s="47">
        <v>0.11</v>
      </c>
      <c r="H21" s="130">
        <f>J21-I21</f>
        <v>3489.2388</v>
      </c>
      <c r="I21" s="131">
        <f>$I$12*0.01</f>
        <v>46.3112</v>
      </c>
      <c r="J21" s="132">
        <v>3535.55</v>
      </c>
    </row>
    <row r="22" spans="1:10" ht="20.25" customHeight="1">
      <c r="A22" s="93"/>
      <c r="B22" s="225" t="s">
        <v>11</v>
      </c>
      <c r="C22" s="225"/>
      <c r="D22" s="225"/>
      <c r="E22" s="95" t="s">
        <v>9</v>
      </c>
      <c r="F22" s="46" t="s">
        <v>12</v>
      </c>
      <c r="G22" s="47">
        <v>0</v>
      </c>
      <c r="H22" s="130">
        <f>J22-I22</f>
        <v>-694.668</v>
      </c>
      <c r="I22" s="131">
        <f>$I$12*0.15</f>
        <v>694.668</v>
      </c>
      <c r="J22" s="132">
        <f>G22*E3*12</f>
        <v>0</v>
      </c>
    </row>
    <row r="23" spans="1:10" ht="20.25" customHeight="1">
      <c r="A23" s="93"/>
      <c r="B23" s="225" t="s">
        <v>26</v>
      </c>
      <c r="C23" s="226"/>
      <c r="D23" s="226"/>
      <c r="E23" s="97" t="s">
        <v>13</v>
      </c>
      <c r="F23" s="45" t="s">
        <v>14</v>
      </c>
      <c r="G23" s="47">
        <v>0.04</v>
      </c>
      <c r="H23" s="130">
        <f>J23-I23</f>
        <v>2965.75664</v>
      </c>
      <c r="I23" s="131">
        <f>$I$12*0.003</f>
        <v>13.89336</v>
      </c>
      <c r="J23" s="132">
        <v>2979.65</v>
      </c>
    </row>
    <row r="24" spans="1:10" ht="28.5" customHeight="1">
      <c r="A24" s="22"/>
      <c r="B24" s="225" t="s">
        <v>155</v>
      </c>
      <c r="C24" s="225"/>
      <c r="D24" s="225"/>
      <c r="E24" s="94" t="s">
        <v>36</v>
      </c>
      <c r="F24" s="98" t="s">
        <v>156</v>
      </c>
      <c r="G24" s="47">
        <v>1.87</v>
      </c>
      <c r="H24" s="130">
        <f aca="true" t="shared" si="1" ref="H24:H29">ROUND(G24*$E$3*12,2)</f>
        <v>80187.1</v>
      </c>
      <c r="I24" s="131">
        <f>$I$12*0.19</f>
        <v>879.9128</v>
      </c>
      <c r="J24" s="132">
        <f t="shared" si="0"/>
        <v>81067.01280000001</v>
      </c>
    </row>
    <row r="25" spans="1:10" ht="26.25" customHeight="1">
      <c r="A25" s="22"/>
      <c r="B25" s="224" t="s">
        <v>15</v>
      </c>
      <c r="C25" s="224"/>
      <c r="D25" s="224"/>
      <c r="E25" s="94" t="s">
        <v>36</v>
      </c>
      <c r="F25" s="98" t="s">
        <v>156</v>
      </c>
      <c r="G25" s="47">
        <v>0.38</v>
      </c>
      <c r="H25" s="130">
        <f t="shared" si="1"/>
        <v>16294.7</v>
      </c>
      <c r="I25" s="131">
        <v>0</v>
      </c>
      <c r="J25" s="132">
        <f t="shared" si="0"/>
        <v>16294.7</v>
      </c>
    </row>
    <row r="26" spans="1:10" ht="30" customHeight="1">
      <c r="A26" s="22"/>
      <c r="B26" s="227" t="s">
        <v>37</v>
      </c>
      <c r="C26" s="228"/>
      <c r="D26" s="229"/>
      <c r="E26" s="94" t="s">
        <v>36</v>
      </c>
      <c r="F26" s="98" t="s">
        <v>156</v>
      </c>
      <c r="G26" s="99">
        <f>2.97-G27-G28</f>
        <v>2.97</v>
      </c>
      <c r="H26" s="130">
        <f t="shared" si="1"/>
        <v>127355.98</v>
      </c>
      <c r="I26" s="131">
        <f>$I$12*(0.18+0.04)</f>
        <v>1018.8464</v>
      </c>
      <c r="J26" s="132">
        <f t="shared" si="0"/>
        <v>128374.82639999999</v>
      </c>
    </row>
    <row r="27" spans="1:10" ht="26.25" customHeight="1">
      <c r="A27" s="93"/>
      <c r="B27" s="225" t="s">
        <v>157</v>
      </c>
      <c r="C27" s="225"/>
      <c r="D27" s="225"/>
      <c r="E27" s="94" t="s">
        <v>36</v>
      </c>
      <c r="F27" s="98" t="s">
        <v>156</v>
      </c>
      <c r="G27" s="99">
        <v>0</v>
      </c>
      <c r="H27" s="130">
        <f t="shared" si="1"/>
        <v>0</v>
      </c>
      <c r="I27" s="131">
        <f>$I$12*0.02</f>
        <v>92.6224</v>
      </c>
      <c r="J27" s="132">
        <f t="shared" si="0"/>
        <v>92.6224</v>
      </c>
    </row>
    <row r="28" spans="1:10" ht="17.25" customHeight="1">
      <c r="A28" s="22"/>
      <c r="B28" s="225" t="s">
        <v>158</v>
      </c>
      <c r="C28" s="225"/>
      <c r="D28" s="225"/>
      <c r="E28" s="95" t="s">
        <v>9</v>
      </c>
      <c r="F28" s="98" t="s">
        <v>156</v>
      </c>
      <c r="G28" s="99">
        <v>0</v>
      </c>
      <c r="H28" s="130">
        <f t="shared" si="1"/>
        <v>0</v>
      </c>
      <c r="I28" s="131">
        <f>$I$12*0.02</f>
        <v>92.6224</v>
      </c>
      <c r="J28" s="132">
        <f t="shared" si="0"/>
        <v>92.6224</v>
      </c>
    </row>
    <row r="29" spans="1:10" ht="17.25" customHeight="1">
      <c r="A29" s="22"/>
      <c r="B29" s="226" t="s">
        <v>21</v>
      </c>
      <c r="C29" s="226"/>
      <c r="D29" s="226"/>
      <c r="E29" s="95" t="s">
        <v>9</v>
      </c>
      <c r="F29" s="98" t="s">
        <v>156</v>
      </c>
      <c r="G29" s="45">
        <v>0.92</v>
      </c>
      <c r="H29" s="130">
        <f t="shared" si="1"/>
        <v>39450.34</v>
      </c>
      <c r="I29" s="131">
        <f>$I$12*0.1</f>
        <v>463.112</v>
      </c>
      <c r="J29" s="132">
        <f t="shared" si="0"/>
        <v>39913.452</v>
      </c>
    </row>
    <row r="30" spans="1:10" ht="21.75" customHeight="1">
      <c r="A30" s="22"/>
      <c r="B30" s="230" t="s">
        <v>159</v>
      </c>
      <c r="C30" s="231"/>
      <c r="D30" s="232"/>
      <c r="E30" s="95" t="s">
        <v>9</v>
      </c>
      <c r="F30" s="98"/>
      <c r="G30" s="45"/>
      <c r="H30" s="130"/>
      <c r="I30" s="131"/>
      <c r="J30" s="133"/>
    </row>
    <row r="31" spans="1:10" ht="27.75" customHeight="1">
      <c r="A31" s="22"/>
      <c r="B31" s="230" t="s">
        <v>160</v>
      </c>
      <c r="C31" s="231"/>
      <c r="D31" s="232"/>
      <c r="E31" s="94" t="s">
        <v>36</v>
      </c>
      <c r="F31" s="98"/>
      <c r="G31" s="45"/>
      <c r="H31" s="130"/>
      <c r="I31" s="131"/>
      <c r="J31" s="133"/>
    </row>
    <row r="32" spans="1:10" ht="15.75">
      <c r="A32" s="22"/>
      <c r="B32" s="233"/>
      <c r="C32" s="228"/>
      <c r="D32" s="229"/>
      <c r="E32" s="95"/>
      <c r="F32" s="98"/>
      <c r="G32" s="45"/>
      <c r="H32" s="130"/>
      <c r="I32" s="131"/>
      <c r="J32" s="133"/>
    </row>
    <row r="33" spans="1:10" ht="15.75">
      <c r="A33" s="22"/>
      <c r="B33" s="233"/>
      <c r="C33" s="228"/>
      <c r="D33" s="229"/>
      <c r="E33" s="95"/>
      <c r="F33" s="98"/>
      <c r="G33" s="45"/>
      <c r="H33" s="130"/>
      <c r="I33" s="131"/>
      <c r="J33" s="133"/>
    </row>
    <row r="34" spans="1:10" ht="15.75">
      <c r="A34" s="22"/>
      <c r="B34" s="215" t="s">
        <v>30</v>
      </c>
      <c r="C34" s="215"/>
      <c r="D34" s="215"/>
      <c r="E34" s="14"/>
      <c r="F34" s="98"/>
      <c r="G34" s="20">
        <f>SUM(G17:G29)</f>
        <v>8.28</v>
      </c>
      <c r="H34" s="120">
        <f>SUM(H17:H33)</f>
        <v>350093.17903999996</v>
      </c>
      <c r="I34" s="121">
        <f>SUM(I17:I33)</f>
        <v>4274.52376</v>
      </c>
      <c r="J34" s="120">
        <f>SUM(J17:J33)</f>
        <v>354367.7028</v>
      </c>
    </row>
    <row r="35" spans="1:10" ht="15" customHeight="1">
      <c r="A35" s="22" t="s">
        <v>137</v>
      </c>
      <c r="B35" s="234" t="s">
        <v>161</v>
      </c>
      <c r="C35" s="235"/>
      <c r="D35" s="235"/>
      <c r="E35" s="236"/>
      <c r="F35" s="98" t="s">
        <v>156</v>
      </c>
      <c r="G35" s="23">
        <f>H35/E3/12</f>
        <v>0.37126173019160086</v>
      </c>
      <c r="H35" s="121">
        <v>15920</v>
      </c>
      <c r="I35" s="132">
        <v>0</v>
      </c>
      <c r="J35" s="124">
        <f t="shared" si="0"/>
        <v>15920</v>
      </c>
    </row>
    <row r="36" spans="1:10" ht="14.25" customHeight="1">
      <c r="A36" s="25"/>
      <c r="B36" s="237" t="s">
        <v>70</v>
      </c>
      <c r="C36" s="237"/>
      <c r="D36" s="237"/>
      <c r="E36" s="237"/>
      <c r="F36" s="237"/>
      <c r="G36" s="20">
        <f>SUM(G34:G35)</f>
        <v>8.6512617301916</v>
      </c>
      <c r="H36" s="122">
        <f>SUM(H34:H35)</f>
        <v>366013.17903999996</v>
      </c>
      <c r="I36" s="123">
        <f>SUM(I34:I35)</f>
        <v>4274.52376</v>
      </c>
      <c r="J36" s="122">
        <f>SUM(J34:J35)</f>
        <v>370287.7028</v>
      </c>
    </row>
    <row r="37" spans="1:10" ht="15.75">
      <c r="A37" s="22" t="s">
        <v>138</v>
      </c>
      <c r="B37" s="238" t="s">
        <v>162</v>
      </c>
      <c r="C37" s="238"/>
      <c r="D37" s="238"/>
      <c r="E37" s="238"/>
      <c r="F37" s="238"/>
      <c r="G37" s="23"/>
      <c r="H37" s="123">
        <v>0</v>
      </c>
      <c r="I37" s="123">
        <v>0</v>
      </c>
      <c r="J37" s="133">
        <f t="shared" si="0"/>
        <v>0</v>
      </c>
    </row>
    <row r="38" spans="1:10" ht="24.75" customHeight="1">
      <c r="A38" s="25"/>
      <c r="B38" s="237" t="s">
        <v>163</v>
      </c>
      <c r="C38" s="237"/>
      <c r="D38" s="237"/>
      <c r="E38" s="237"/>
      <c r="F38" s="237"/>
      <c r="G38" s="20">
        <f>SUM(G36:G37)</f>
        <v>8.6512617301916</v>
      </c>
      <c r="H38" s="122">
        <f>SUM(H36:H37)</f>
        <v>366013.17903999996</v>
      </c>
      <c r="I38" s="123">
        <f>SUM(I36:I37)</f>
        <v>4274.52376</v>
      </c>
      <c r="J38" s="122">
        <f>SUM(J36:J37)</f>
        <v>370287.7028</v>
      </c>
    </row>
    <row r="39" spans="1:10" ht="27" customHeight="1">
      <c r="A39" s="22">
        <v>3</v>
      </c>
      <c r="B39" s="202" t="s">
        <v>164</v>
      </c>
      <c r="C39" s="203"/>
      <c r="D39" s="203"/>
      <c r="E39" s="203"/>
      <c r="F39" s="203"/>
      <c r="G39" s="204"/>
      <c r="H39" s="130">
        <f>H14-H38</f>
        <v>15872.64095999999</v>
      </c>
      <c r="I39" s="130">
        <f>I14-I38</f>
        <v>356.59623999999985</v>
      </c>
      <c r="J39" s="121">
        <f>J14-J38</f>
        <v>16229.237199999916</v>
      </c>
    </row>
    <row r="40" spans="2:6" ht="15.75">
      <c r="B40" s="33"/>
      <c r="F40" s="33"/>
    </row>
    <row r="41" spans="2:9" ht="36" customHeight="1">
      <c r="B41" s="201" t="s">
        <v>165</v>
      </c>
      <c r="C41" s="201"/>
      <c r="D41" s="201"/>
      <c r="E41" s="201"/>
      <c r="F41" s="201"/>
      <c r="G41" s="201"/>
      <c r="H41" s="201"/>
      <c r="I41" s="201"/>
    </row>
    <row r="42" spans="2:4" ht="25.5" customHeight="1">
      <c r="B42" s="33"/>
      <c r="C42" s="33"/>
      <c r="D42" s="33"/>
    </row>
    <row r="43" spans="2:4" ht="15.75">
      <c r="B43" s="43" t="s">
        <v>72</v>
      </c>
      <c r="C43" s="43"/>
      <c r="D43" s="43"/>
    </row>
    <row r="44" spans="2:9" ht="34.5" customHeight="1">
      <c r="B44" s="205" t="s">
        <v>209</v>
      </c>
      <c r="C44" s="205"/>
      <c r="D44" s="205"/>
      <c r="E44" s="205"/>
      <c r="F44" s="205"/>
      <c r="G44" s="205"/>
      <c r="H44" s="205"/>
      <c r="I44" s="33"/>
    </row>
    <row r="45" spans="2:4" ht="15.75" customHeight="1">
      <c r="B45" s="196" t="s">
        <v>75</v>
      </c>
      <c r="C45" s="196"/>
      <c r="D45" s="196"/>
    </row>
  </sheetData>
  <mergeCells count="38">
    <mergeCell ref="B45:D45"/>
    <mergeCell ref="B44:H44"/>
    <mergeCell ref="B37:F37"/>
    <mergeCell ref="B38:F38"/>
    <mergeCell ref="B39:G39"/>
    <mergeCell ref="B41:I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50390625" style="0" customWidth="1"/>
    <col min="6" max="6" width="9.25390625" style="0" hidden="1" customWidth="1"/>
    <col min="7" max="7" width="6.2539062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97" t="s">
        <v>211</v>
      </c>
      <c r="B1" s="197"/>
      <c r="C1" s="197"/>
      <c r="D1" s="197"/>
      <c r="E1" s="197"/>
      <c r="F1" s="197"/>
      <c r="G1" s="197"/>
      <c r="H1" s="197"/>
    </row>
    <row r="2" spans="1:6" ht="18.75">
      <c r="A2" s="1" t="s">
        <v>139</v>
      </c>
      <c r="B2" s="1" t="s">
        <v>84</v>
      </c>
      <c r="C2" s="2"/>
      <c r="D2" s="2" t="s">
        <v>0</v>
      </c>
      <c r="E2" s="26">
        <v>3573.4</v>
      </c>
      <c r="F2" s="2"/>
    </row>
    <row r="3" spans="2:6" ht="15.75">
      <c r="B3" s="3" t="s">
        <v>1</v>
      </c>
      <c r="C3" s="44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6" customHeight="1">
      <c r="A6" s="76" t="s">
        <v>55</v>
      </c>
      <c r="B6" s="244" t="s">
        <v>142</v>
      </c>
      <c r="C6" s="245"/>
      <c r="D6" s="246"/>
      <c r="E6" s="77" t="s">
        <v>6</v>
      </c>
      <c r="F6" s="77" t="s">
        <v>7</v>
      </c>
      <c r="G6" s="102" t="s">
        <v>196</v>
      </c>
      <c r="H6" s="103" t="s">
        <v>132</v>
      </c>
    </row>
    <row r="7" spans="1:8" ht="15.75" customHeight="1">
      <c r="A7" s="78">
        <v>1</v>
      </c>
      <c r="B7" s="247" t="s">
        <v>133</v>
      </c>
      <c r="C7" s="247"/>
      <c r="D7" s="247"/>
      <c r="E7" s="247"/>
      <c r="F7" s="247"/>
      <c r="G7" s="79"/>
      <c r="H7" s="104"/>
    </row>
    <row r="8" spans="1:8" ht="33.75" customHeight="1">
      <c r="A8" s="78"/>
      <c r="B8" s="209" t="s">
        <v>197</v>
      </c>
      <c r="C8" s="209"/>
      <c r="D8" s="209"/>
      <c r="E8" s="209"/>
      <c r="F8" s="209"/>
      <c r="G8" s="23">
        <f>G30</f>
        <v>10.580000000000002</v>
      </c>
      <c r="H8" s="80">
        <f>ROUND(E2*G8*12,2)</f>
        <v>453678.86</v>
      </c>
    </row>
    <row r="9" spans="1:8" ht="15.75" customHeight="1">
      <c r="A9" s="78"/>
      <c r="B9" s="243" t="s">
        <v>134</v>
      </c>
      <c r="C9" s="243"/>
      <c r="D9" s="243"/>
      <c r="E9" s="243"/>
      <c r="F9" s="243"/>
      <c r="G9" s="22">
        <v>0.76</v>
      </c>
      <c r="H9" s="104">
        <f>ROUND($E$2*G9*12,0)</f>
        <v>32589</v>
      </c>
    </row>
    <row r="10" spans="1:8" ht="18.75" customHeight="1">
      <c r="A10" s="78">
        <v>2</v>
      </c>
      <c r="B10" s="192" t="s">
        <v>68</v>
      </c>
      <c r="C10" s="192"/>
      <c r="D10" s="192"/>
      <c r="E10" s="192"/>
      <c r="F10" s="192"/>
      <c r="G10" s="45"/>
      <c r="H10" s="104"/>
    </row>
    <row r="11" spans="1:8" ht="15.75" customHeight="1">
      <c r="A11" s="78"/>
      <c r="B11" s="18" t="s">
        <v>69</v>
      </c>
      <c r="C11" s="18"/>
      <c r="D11" s="18"/>
      <c r="E11" s="18"/>
      <c r="F11" s="5"/>
      <c r="G11" s="90"/>
      <c r="H11" s="104"/>
    </row>
    <row r="12" spans="1:8" ht="32.25" customHeight="1">
      <c r="A12" s="105"/>
      <c r="B12" s="241" t="s">
        <v>212</v>
      </c>
      <c r="C12" s="241"/>
      <c r="D12" s="241"/>
      <c r="E12" s="94" t="s">
        <v>32</v>
      </c>
      <c r="F12" s="81" t="s">
        <v>24</v>
      </c>
      <c r="G12" s="47">
        <v>1.06</v>
      </c>
      <c r="H12" s="80">
        <f aca="true" t="shared" si="0" ref="H12:H30">ROUND($E$2*G12*12,0)</f>
        <v>45454</v>
      </c>
    </row>
    <row r="13" spans="1:8" ht="18.75" customHeight="1">
      <c r="A13" s="105"/>
      <c r="B13" s="241" t="s">
        <v>17</v>
      </c>
      <c r="C13" s="241"/>
      <c r="D13" s="241"/>
      <c r="E13" s="94" t="s">
        <v>32</v>
      </c>
      <c r="F13" s="81" t="s">
        <v>19</v>
      </c>
      <c r="G13" s="47">
        <v>0.28</v>
      </c>
      <c r="H13" s="80">
        <f t="shared" si="0"/>
        <v>12007</v>
      </c>
    </row>
    <row r="14" spans="1:8" ht="18.75" customHeight="1">
      <c r="A14" s="105"/>
      <c r="B14" s="239" t="s">
        <v>23</v>
      </c>
      <c r="C14" s="239"/>
      <c r="D14" s="239"/>
      <c r="E14" s="95" t="s">
        <v>153</v>
      </c>
      <c r="F14" s="46" t="s">
        <v>20</v>
      </c>
      <c r="G14" s="47">
        <v>0.39</v>
      </c>
      <c r="H14" s="80">
        <f t="shared" si="0"/>
        <v>16724</v>
      </c>
    </row>
    <row r="15" spans="1:8" ht="15.75" customHeight="1">
      <c r="A15" s="105"/>
      <c r="B15" s="242" t="s">
        <v>31</v>
      </c>
      <c r="C15" s="242"/>
      <c r="D15" s="242"/>
      <c r="E15" s="96" t="s">
        <v>9</v>
      </c>
      <c r="F15" s="82" t="s">
        <v>10</v>
      </c>
      <c r="G15" s="47">
        <v>0.51</v>
      </c>
      <c r="H15" s="80">
        <f t="shared" si="0"/>
        <v>21869</v>
      </c>
    </row>
    <row r="16" spans="1:8" ht="51.75" customHeight="1">
      <c r="A16" s="105"/>
      <c r="B16" s="239" t="s">
        <v>27</v>
      </c>
      <c r="C16" s="239"/>
      <c r="D16" s="239"/>
      <c r="E16" s="95" t="s">
        <v>154</v>
      </c>
      <c r="F16" s="46" t="s">
        <v>25</v>
      </c>
      <c r="G16" s="47">
        <v>0.12</v>
      </c>
      <c r="H16" s="80">
        <f t="shared" si="0"/>
        <v>5146</v>
      </c>
    </row>
    <row r="17" spans="1:8" ht="34.5" customHeight="1">
      <c r="A17" s="105"/>
      <c r="B17" s="239" t="s">
        <v>11</v>
      </c>
      <c r="C17" s="239"/>
      <c r="D17" s="239"/>
      <c r="E17" s="95" t="s">
        <v>9</v>
      </c>
      <c r="F17" s="46" t="s">
        <v>12</v>
      </c>
      <c r="G17" s="47">
        <v>0</v>
      </c>
      <c r="H17" s="80">
        <f t="shared" si="0"/>
        <v>0</v>
      </c>
    </row>
    <row r="18" spans="1:8" ht="30.75" customHeight="1">
      <c r="A18" s="105"/>
      <c r="B18" s="239" t="s">
        <v>26</v>
      </c>
      <c r="C18" s="240"/>
      <c r="D18" s="240"/>
      <c r="E18" s="97" t="s">
        <v>13</v>
      </c>
      <c r="F18" s="45" t="s">
        <v>198</v>
      </c>
      <c r="G18" s="47">
        <v>0.05</v>
      </c>
      <c r="H18" s="80">
        <f t="shared" si="0"/>
        <v>2144</v>
      </c>
    </row>
    <row r="19" spans="1:8" ht="30" customHeight="1">
      <c r="A19" s="105"/>
      <c r="B19" s="239" t="s">
        <v>155</v>
      </c>
      <c r="C19" s="239"/>
      <c r="D19" s="239"/>
      <c r="E19" s="94" t="s">
        <v>36</v>
      </c>
      <c r="F19" s="46" t="s">
        <v>156</v>
      </c>
      <c r="G19" s="47">
        <v>2.15</v>
      </c>
      <c r="H19" s="80">
        <f t="shared" si="0"/>
        <v>92194</v>
      </c>
    </row>
    <row r="20" spans="1:8" ht="52.5" customHeight="1">
      <c r="A20" s="105"/>
      <c r="B20" s="241" t="s">
        <v>15</v>
      </c>
      <c r="C20" s="241"/>
      <c r="D20" s="241"/>
      <c r="E20" s="94" t="s">
        <v>135</v>
      </c>
      <c r="F20" s="46" t="s">
        <v>156</v>
      </c>
      <c r="G20" s="47">
        <v>0.44</v>
      </c>
      <c r="H20" s="80">
        <f t="shared" si="0"/>
        <v>18868</v>
      </c>
    </row>
    <row r="21" spans="1:8" ht="30.75" customHeight="1">
      <c r="A21" s="105"/>
      <c r="B21" s="239" t="s">
        <v>37</v>
      </c>
      <c r="C21" s="240"/>
      <c r="D21" s="240"/>
      <c r="E21" s="94" t="s">
        <v>36</v>
      </c>
      <c r="F21" s="46" t="s">
        <v>156</v>
      </c>
      <c r="G21" s="47">
        <f>3.46-G22-G23</f>
        <v>3.46</v>
      </c>
      <c r="H21" s="80">
        <f t="shared" si="0"/>
        <v>148368</v>
      </c>
    </row>
    <row r="22" spans="1:8" ht="16.5" customHeight="1">
      <c r="A22" s="105"/>
      <c r="B22" s="239" t="s">
        <v>199</v>
      </c>
      <c r="C22" s="239"/>
      <c r="D22" s="239"/>
      <c r="E22" s="95" t="s">
        <v>9</v>
      </c>
      <c r="F22" s="46" t="s">
        <v>156</v>
      </c>
      <c r="G22" s="47">
        <v>0</v>
      </c>
      <c r="H22" s="135">
        <f t="shared" si="0"/>
        <v>0</v>
      </c>
    </row>
    <row r="23" spans="1:8" ht="22.5" customHeight="1">
      <c r="A23" s="105"/>
      <c r="B23" s="239" t="s">
        <v>158</v>
      </c>
      <c r="C23" s="239"/>
      <c r="D23" s="239"/>
      <c r="E23" s="95" t="s">
        <v>9</v>
      </c>
      <c r="F23" s="46" t="s">
        <v>156</v>
      </c>
      <c r="G23" s="47">
        <v>0</v>
      </c>
      <c r="H23" s="135">
        <f t="shared" si="0"/>
        <v>0</v>
      </c>
    </row>
    <row r="24" spans="1:8" ht="24" customHeight="1">
      <c r="A24" s="105"/>
      <c r="B24" s="240" t="s">
        <v>21</v>
      </c>
      <c r="C24" s="240"/>
      <c r="D24" s="240"/>
      <c r="E24" s="94" t="s">
        <v>36</v>
      </c>
      <c r="F24" s="46" t="s">
        <v>156</v>
      </c>
      <c r="G24" s="47">
        <v>1.06</v>
      </c>
      <c r="H24" s="80">
        <f t="shared" si="0"/>
        <v>45454</v>
      </c>
    </row>
    <row r="25" spans="1:8" ht="15.75">
      <c r="A25" s="22"/>
      <c r="B25" s="230" t="s">
        <v>159</v>
      </c>
      <c r="C25" s="231"/>
      <c r="D25" s="232"/>
      <c r="E25" s="95" t="s">
        <v>9</v>
      </c>
      <c r="F25" s="46"/>
      <c r="G25" s="47"/>
      <c r="H25" s="80"/>
    </row>
    <row r="26" spans="1:8" ht="12.75" customHeight="1">
      <c r="A26" s="22"/>
      <c r="B26" s="230" t="s">
        <v>160</v>
      </c>
      <c r="C26" s="231"/>
      <c r="D26" s="232"/>
      <c r="E26" s="94" t="s">
        <v>36</v>
      </c>
      <c r="F26" s="46"/>
      <c r="G26" s="47"/>
      <c r="H26" s="80"/>
    </row>
    <row r="27" spans="1:8" ht="15.75">
      <c r="A27" s="105"/>
      <c r="B27" s="233"/>
      <c r="C27" s="228"/>
      <c r="D27" s="229"/>
      <c r="E27" s="94"/>
      <c r="F27" s="46"/>
      <c r="G27" s="47"/>
      <c r="H27" s="80"/>
    </row>
    <row r="28" spans="1:8" ht="20.25" customHeight="1">
      <c r="A28" s="105"/>
      <c r="B28" s="248" t="s">
        <v>30</v>
      </c>
      <c r="C28" s="249"/>
      <c r="D28" s="250"/>
      <c r="E28" s="14"/>
      <c r="F28" s="46"/>
      <c r="G28" s="20">
        <f>SUM(G12:G27)</f>
        <v>9.520000000000001</v>
      </c>
      <c r="H28" s="80">
        <f t="shared" si="0"/>
        <v>408225</v>
      </c>
    </row>
    <row r="29" spans="1:8" ht="15.75" customHeight="1">
      <c r="A29" s="78" t="s">
        <v>137</v>
      </c>
      <c r="B29" s="234" t="s">
        <v>200</v>
      </c>
      <c r="C29" s="235"/>
      <c r="D29" s="235"/>
      <c r="E29" s="236"/>
      <c r="F29" s="50" t="s">
        <v>201</v>
      </c>
      <c r="G29" s="23">
        <v>1.06</v>
      </c>
      <c r="H29" s="80">
        <f t="shared" si="0"/>
        <v>45454</v>
      </c>
    </row>
    <row r="30" spans="1:8" ht="15.75" customHeight="1">
      <c r="A30" s="78"/>
      <c r="B30" s="251" t="s">
        <v>202</v>
      </c>
      <c r="C30" s="251"/>
      <c r="D30" s="251"/>
      <c r="E30" s="251"/>
      <c r="F30" s="251"/>
      <c r="G30" s="20">
        <f>SUM(G28:G29)</f>
        <v>10.580000000000002</v>
      </c>
      <c r="H30" s="106">
        <f t="shared" si="0"/>
        <v>453679</v>
      </c>
    </row>
    <row r="31" spans="1:8" ht="15.75" customHeight="1" thickBot="1">
      <c r="A31" s="107">
        <v>3</v>
      </c>
      <c r="B31" s="252" t="s">
        <v>203</v>
      </c>
      <c r="C31" s="253"/>
      <c r="D31" s="254"/>
      <c r="E31" s="108"/>
      <c r="F31" s="109" t="s">
        <v>201</v>
      </c>
      <c r="G31" s="83">
        <v>0.76</v>
      </c>
      <c r="H31" s="110">
        <f>ROUND($E$2*G31*12,0)</f>
        <v>32589</v>
      </c>
    </row>
    <row r="32" spans="1:8" ht="15.75" customHeight="1">
      <c r="A32" s="111"/>
      <c r="B32" s="112"/>
      <c r="C32" s="112"/>
      <c r="D32" s="112"/>
      <c r="E32" s="112"/>
      <c r="F32" s="113"/>
      <c r="G32" s="84"/>
      <c r="H32" s="114"/>
    </row>
    <row r="33" spans="1:9" ht="18.75" customHeight="1">
      <c r="A33" s="115" t="s">
        <v>204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>
      <c r="A34" s="201" t="s">
        <v>205</v>
      </c>
      <c r="B34" s="201"/>
      <c r="C34" s="201"/>
      <c r="D34" s="201"/>
      <c r="E34" s="201"/>
      <c r="F34" s="201"/>
      <c r="G34" s="201"/>
      <c r="H34" s="201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206</v>
      </c>
    </row>
    <row r="37" spans="2:4" ht="15.75" customHeight="1">
      <c r="B37" s="116"/>
      <c r="C37" s="116"/>
      <c r="D37" s="116"/>
    </row>
  </sheetData>
  <mergeCells count="27">
    <mergeCell ref="A34:H34"/>
    <mergeCell ref="B28:D28"/>
    <mergeCell ref="B29:E29"/>
    <mergeCell ref="B30:F30"/>
    <mergeCell ref="B31:D31"/>
    <mergeCell ref="B8:F8"/>
    <mergeCell ref="B9:F9"/>
    <mergeCell ref="B10:F10"/>
    <mergeCell ref="A1:H1"/>
    <mergeCell ref="B6:D6"/>
    <mergeCell ref="B7:F7"/>
    <mergeCell ref="B19:D19"/>
    <mergeCell ref="B20:D20"/>
    <mergeCell ref="B12:D12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1:D21"/>
    <mergeCell ref="B22:D22"/>
    <mergeCell ref="B23:D23"/>
    <mergeCell ref="B24:D24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60" workbookViewId="0" topLeftCell="A5">
      <selection activeCell="B8" sqref="B8:F8"/>
    </sheetView>
  </sheetViews>
  <sheetFormatPr defaultColWidth="9.00390625" defaultRowHeight="15.75"/>
  <cols>
    <col min="1" max="1" width="7.875" style="0" customWidth="1"/>
    <col min="2" max="2" width="25.125" style="0" customWidth="1"/>
    <col min="3" max="3" width="3.75390625" style="0" customWidth="1"/>
    <col min="4" max="4" width="24.875" style="0" customWidth="1"/>
    <col min="5" max="5" width="16.25390625" style="0" customWidth="1"/>
    <col min="6" max="6" width="0.12890625" style="0" hidden="1" customWidth="1"/>
    <col min="7" max="7" width="5.75390625" style="0" hidden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7" t="s">
        <v>215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60.75" customHeight="1">
      <c r="A2" s="213" t="s">
        <v>216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9" ht="18.75">
      <c r="A3" s="1" t="s">
        <v>139</v>
      </c>
      <c r="B3" s="1" t="s">
        <v>84</v>
      </c>
      <c r="C3" s="2"/>
      <c r="D3" s="2" t="s">
        <v>0</v>
      </c>
      <c r="E3" s="26">
        <v>3573.4</v>
      </c>
      <c r="F3" s="2"/>
      <c r="H3" s="85">
        <v>42.7</v>
      </c>
      <c r="I3" s="85"/>
    </row>
    <row r="4" spans="2:8" ht="15.75">
      <c r="B4" s="3" t="s">
        <v>1</v>
      </c>
      <c r="C4" s="44">
        <v>5</v>
      </c>
      <c r="D4" s="2" t="s">
        <v>2</v>
      </c>
      <c r="E4" s="27">
        <v>80</v>
      </c>
      <c r="F4" s="2"/>
      <c r="H4" t="s">
        <v>99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140</v>
      </c>
      <c r="I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t="s">
        <v>141</v>
      </c>
    </row>
    <row r="7" spans="1:10" ht="39" customHeight="1">
      <c r="A7" s="21" t="s">
        <v>55</v>
      </c>
      <c r="B7" s="189" t="s">
        <v>142</v>
      </c>
      <c r="C7" s="190"/>
      <c r="D7" s="186"/>
      <c r="E7" s="11" t="s">
        <v>6</v>
      </c>
      <c r="F7" s="11" t="s">
        <v>7</v>
      </c>
      <c r="G7" s="86" t="s">
        <v>22</v>
      </c>
      <c r="H7" s="220" t="s">
        <v>143</v>
      </c>
      <c r="I7" s="221"/>
      <c r="J7" s="222"/>
    </row>
    <row r="8" spans="1:10" ht="15.75">
      <c r="A8" s="22">
        <v>1</v>
      </c>
      <c r="B8" s="194"/>
      <c r="C8" s="195"/>
      <c r="D8" s="195"/>
      <c r="E8" s="195"/>
      <c r="F8" s="187"/>
      <c r="G8" s="87"/>
      <c r="H8" s="88" t="s">
        <v>144</v>
      </c>
      <c r="I8" s="89" t="s">
        <v>145</v>
      </c>
      <c r="J8" s="89" t="s">
        <v>146</v>
      </c>
    </row>
    <row r="9" spans="1:10" ht="15.75">
      <c r="A9" s="22"/>
      <c r="B9" s="194" t="s">
        <v>147</v>
      </c>
      <c r="C9" s="195"/>
      <c r="D9" s="195"/>
      <c r="E9" s="195"/>
      <c r="F9" s="187"/>
      <c r="G9" s="90"/>
      <c r="H9" s="90"/>
      <c r="I9" s="56"/>
      <c r="J9" s="89"/>
    </row>
    <row r="10" spans="1:10" ht="15.75" customHeight="1">
      <c r="A10" s="91"/>
      <c r="B10" s="191" t="s">
        <v>148</v>
      </c>
      <c r="C10" s="191"/>
      <c r="D10" s="191"/>
      <c r="E10" s="191"/>
      <c r="F10" s="191"/>
      <c r="G10" s="15"/>
      <c r="H10" s="117">
        <v>450388.82</v>
      </c>
      <c r="I10" s="119"/>
      <c r="J10" s="117">
        <f>H10+I10</f>
        <v>450388.82</v>
      </c>
    </row>
    <row r="11" spans="1:10" ht="15.75" customHeight="1">
      <c r="A11" s="91"/>
      <c r="B11" s="191" t="s">
        <v>149</v>
      </c>
      <c r="C11" s="191"/>
      <c r="D11" s="191"/>
      <c r="E11" s="191"/>
      <c r="F11" s="191"/>
      <c r="G11" s="15"/>
      <c r="H11" s="117">
        <v>29446.39</v>
      </c>
      <c r="I11" s="119"/>
      <c r="J11" s="117">
        <f>H11+I11</f>
        <v>29446.39</v>
      </c>
    </row>
    <row r="12" spans="1:10" ht="15.75" customHeight="1">
      <c r="A12" s="22"/>
      <c r="B12" s="191" t="s">
        <v>150</v>
      </c>
      <c r="C12" s="191"/>
      <c r="D12" s="191"/>
      <c r="E12" s="191"/>
      <c r="F12" s="191"/>
      <c r="G12" s="15"/>
      <c r="H12" s="117"/>
      <c r="I12" s="119">
        <v>5747.3</v>
      </c>
      <c r="J12" s="117">
        <f>H12+I12</f>
        <v>5747.3</v>
      </c>
    </row>
    <row r="13" spans="1:10" ht="15.75">
      <c r="A13" s="22"/>
      <c r="B13" s="191" t="s">
        <v>151</v>
      </c>
      <c r="C13" s="191"/>
      <c r="D13" s="191"/>
      <c r="E13" s="191"/>
      <c r="F13" s="191"/>
      <c r="G13" s="15"/>
      <c r="H13" s="119">
        <v>0</v>
      </c>
      <c r="I13" s="119">
        <v>0</v>
      </c>
      <c r="J13" s="117">
        <f>H13+I13</f>
        <v>0</v>
      </c>
    </row>
    <row r="14" spans="1:10" ht="15.75" customHeight="1">
      <c r="A14" s="22"/>
      <c r="B14" s="209" t="s">
        <v>152</v>
      </c>
      <c r="C14" s="209"/>
      <c r="D14" s="209"/>
      <c r="E14" s="209"/>
      <c r="F14" s="209"/>
      <c r="G14" s="15"/>
      <c r="H14" s="124">
        <f>SUM(H10:H13)</f>
        <v>479835.21</v>
      </c>
      <c r="I14" s="124">
        <f>SUM(I10:I13)</f>
        <v>5747.3</v>
      </c>
      <c r="J14" s="124">
        <f>SUM(J10:J13)</f>
        <v>485582.51</v>
      </c>
    </row>
    <row r="15" spans="1:10" ht="18.75" customHeight="1">
      <c r="A15" s="22">
        <v>2</v>
      </c>
      <c r="B15" s="192" t="s">
        <v>68</v>
      </c>
      <c r="C15" s="192"/>
      <c r="D15" s="192"/>
      <c r="E15" s="192"/>
      <c r="F15" s="192"/>
      <c r="G15" s="15"/>
      <c r="H15" s="125"/>
      <c r="I15" s="126"/>
      <c r="J15" s="127"/>
    </row>
    <row r="16" spans="1:10" ht="15.75">
      <c r="A16" s="22" t="s">
        <v>136</v>
      </c>
      <c r="B16" s="18" t="s">
        <v>69</v>
      </c>
      <c r="C16" s="18"/>
      <c r="D16" s="18"/>
      <c r="E16" s="18"/>
      <c r="F16" s="5"/>
      <c r="G16" s="88"/>
      <c r="H16" s="118"/>
      <c r="I16" s="128"/>
      <c r="J16" s="129"/>
    </row>
    <row r="17" spans="1:10" ht="33.75" customHeight="1">
      <c r="A17" s="93"/>
      <c r="B17" s="223" t="s">
        <v>212</v>
      </c>
      <c r="C17" s="223"/>
      <c r="D17" s="223"/>
      <c r="E17" s="94" t="s">
        <v>32</v>
      </c>
      <c r="F17" s="81" t="s">
        <v>24</v>
      </c>
      <c r="G17" s="47">
        <v>1.06</v>
      </c>
      <c r="H17" s="130">
        <f>ROUND(G17*$E$3*12,2)</f>
        <v>45453.65</v>
      </c>
      <c r="I17" s="131">
        <f>$I$12*0.08</f>
        <v>459.78400000000005</v>
      </c>
      <c r="J17" s="132">
        <f>SUM(H17:I17)</f>
        <v>45913.434</v>
      </c>
    </row>
    <row r="18" spans="1:10" ht="17.25" customHeight="1">
      <c r="A18" s="22"/>
      <c r="B18" s="224" t="s">
        <v>17</v>
      </c>
      <c r="C18" s="224"/>
      <c r="D18" s="224"/>
      <c r="E18" s="94" t="s">
        <v>32</v>
      </c>
      <c r="F18" s="81" t="s">
        <v>19</v>
      </c>
      <c r="G18" s="47">
        <v>0.28</v>
      </c>
      <c r="H18" s="130">
        <f>ROUND(G18*$E$3*12,2)</f>
        <v>12006.62</v>
      </c>
      <c r="I18" s="131">
        <f>$I$12*0.02</f>
        <v>114.94600000000001</v>
      </c>
      <c r="J18" s="132">
        <f>SUM(H18:I18)</f>
        <v>12121.566</v>
      </c>
    </row>
    <row r="19" spans="1:10" ht="20.25" customHeight="1">
      <c r="A19" s="22"/>
      <c r="B19" s="225" t="s">
        <v>23</v>
      </c>
      <c r="C19" s="225"/>
      <c r="D19" s="225"/>
      <c r="E19" s="95" t="s">
        <v>153</v>
      </c>
      <c r="F19" s="46" t="s">
        <v>20</v>
      </c>
      <c r="G19" s="47">
        <v>0.39</v>
      </c>
      <c r="H19" s="130">
        <f>J19-I19</f>
        <v>12053.569</v>
      </c>
      <c r="I19" s="131">
        <f>$I$12*0.07</f>
        <v>402.31100000000004</v>
      </c>
      <c r="J19" s="132">
        <v>12455.88</v>
      </c>
    </row>
    <row r="20" spans="1:10" ht="20.25" customHeight="1">
      <c r="A20" s="93"/>
      <c r="B20" s="223" t="s">
        <v>31</v>
      </c>
      <c r="C20" s="223"/>
      <c r="D20" s="223"/>
      <c r="E20" s="96" t="s">
        <v>9</v>
      </c>
      <c r="F20" s="82" t="s">
        <v>10</v>
      </c>
      <c r="G20" s="47">
        <v>0.51</v>
      </c>
      <c r="H20" s="130">
        <f>ROUND(G20*$E$3*12,2)</f>
        <v>21869.21</v>
      </c>
      <c r="I20" s="131">
        <f>$I$12*0.04</f>
        <v>229.89200000000002</v>
      </c>
      <c r="J20" s="132">
        <f>SUM(H20:I20)</f>
        <v>22099.102</v>
      </c>
    </row>
    <row r="21" spans="1:10" ht="49.5" customHeight="1">
      <c r="A21" s="22"/>
      <c r="B21" s="225" t="s">
        <v>27</v>
      </c>
      <c r="C21" s="225"/>
      <c r="D21" s="225"/>
      <c r="E21" s="95" t="s">
        <v>154</v>
      </c>
      <c r="F21" s="46" t="s">
        <v>25</v>
      </c>
      <c r="G21" s="47">
        <v>0.12</v>
      </c>
      <c r="H21" s="130">
        <f>J21-I21</f>
        <v>5715.287</v>
      </c>
      <c r="I21" s="131">
        <f>$I$12*0.01</f>
        <v>57.473000000000006</v>
      </c>
      <c r="J21" s="132">
        <v>5772.76</v>
      </c>
    </row>
    <row r="22" spans="1:10" ht="20.25" customHeight="1">
      <c r="A22" s="93"/>
      <c r="B22" s="225" t="s">
        <v>11</v>
      </c>
      <c r="C22" s="225"/>
      <c r="D22" s="225"/>
      <c r="E22" s="95" t="s">
        <v>9</v>
      </c>
      <c r="F22" s="46" t="s">
        <v>12</v>
      </c>
      <c r="G22" s="47">
        <v>0</v>
      </c>
      <c r="H22" s="130">
        <f>J22-I22</f>
        <v>0</v>
      </c>
      <c r="I22" s="131">
        <v>0</v>
      </c>
      <c r="J22" s="132">
        <f>G22*E3*12</f>
        <v>0</v>
      </c>
    </row>
    <row r="23" spans="1:10" ht="20.25" customHeight="1">
      <c r="A23" s="93"/>
      <c r="B23" s="225" t="s">
        <v>26</v>
      </c>
      <c r="C23" s="226"/>
      <c r="D23" s="226"/>
      <c r="E23" s="97" t="s">
        <v>13</v>
      </c>
      <c r="F23" s="45" t="s">
        <v>14</v>
      </c>
      <c r="G23" s="47">
        <v>0.05</v>
      </c>
      <c r="H23" s="130">
        <f>J23-I23</f>
        <v>2905.0781</v>
      </c>
      <c r="I23" s="131">
        <f>$I$12*0.003</f>
        <v>17.2419</v>
      </c>
      <c r="J23" s="132">
        <v>2922.32</v>
      </c>
    </row>
    <row r="24" spans="1:10" ht="28.5" customHeight="1">
      <c r="A24" s="22"/>
      <c r="B24" s="225" t="s">
        <v>155</v>
      </c>
      <c r="C24" s="225"/>
      <c r="D24" s="225"/>
      <c r="E24" s="94" t="s">
        <v>36</v>
      </c>
      <c r="F24" s="98" t="s">
        <v>156</v>
      </c>
      <c r="G24" s="47">
        <v>2.15</v>
      </c>
      <c r="H24" s="130">
        <f aca="true" t="shared" si="0" ref="H24:H29">ROUND(G24*$E$3*12,2)</f>
        <v>92193.72</v>
      </c>
      <c r="I24" s="131">
        <f>$I$12*0.19</f>
        <v>1091.987</v>
      </c>
      <c r="J24" s="132">
        <f aca="true" t="shared" si="1" ref="J24:J29">SUM(H24:I24)</f>
        <v>93285.707</v>
      </c>
    </row>
    <row r="25" spans="1:10" ht="26.25" customHeight="1">
      <c r="A25" s="22"/>
      <c r="B25" s="224" t="s">
        <v>15</v>
      </c>
      <c r="C25" s="224"/>
      <c r="D25" s="224"/>
      <c r="E25" s="94" t="s">
        <v>36</v>
      </c>
      <c r="F25" s="98" t="s">
        <v>156</v>
      </c>
      <c r="G25" s="47">
        <v>0.44</v>
      </c>
      <c r="H25" s="130">
        <f t="shared" si="0"/>
        <v>18867.55</v>
      </c>
      <c r="I25" s="131">
        <v>0</v>
      </c>
      <c r="J25" s="132">
        <f t="shared" si="1"/>
        <v>18867.55</v>
      </c>
    </row>
    <row r="26" spans="1:10" ht="30" customHeight="1">
      <c r="A26" s="22"/>
      <c r="B26" s="227" t="s">
        <v>37</v>
      </c>
      <c r="C26" s="228"/>
      <c r="D26" s="229"/>
      <c r="E26" s="94" t="s">
        <v>36</v>
      </c>
      <c r="F26" s="98" t="s">
        <v>156</v>
      </c>
      <c r="G26" s="99">
        <f>3.46-G27-G28</f>
        <v>3.46</v>
      </c>
      <c r="H26" s="130">
        <f t="shared" si="0"/>
        <v>148367.57</v>
      </c>
      <c r="I26" s="131">
        <f>$I$12*(0.18+0.04)</f>
        <v>1264.406</v>
      </c>
      <c r="J26" s="132">
        <f t="shared" si="1"/>
        <v>149631.976</v>
      </c>
    </row>
    <row r="27" spans="1:10" ht="26.25" customHeight="1">
      <c r="A27" s="93"/>
      <c r="B27" s="225" t="s">
        <v>157</v>
      </c>
      <c r="C27" s="225"/>
      <c r="D27" s="225"/>
      <c r="E27" s="94" t="s">
        <v>36</v>
      </c>
      <c r="F27" s="98" t="s">
        <v>156</v>
      </c>
      <c r="G27" s="99">
        <v>0</v>
      </c>
      <c r="H27" s="130">
        <f t="shared" si="0"/>
        <v>0</v>
      </c>
      <c r="I27" s="131">
        <v>0</v>
      </c>
      <c r="J27" s="132">
        <f t="shared" si="1"/>
        <v>0</v>
      </c>
    </row>
    <row r="28" spans="1:10" ht="17.25" customHeight="1">
      <c r="A28" s="22"/>
      <c r="B28" s="225" t="s">
        <v>158</v>
      </c>
      <c r="C28" s="225"/>
      <c r="D28" s="225"/>
      <c r="E28" s="95" t="s">
        <v>9</v>
      </c>
      <c r="F28" s="98" t="s">
        <v>156</v>
      </c>
      <c r="G28" s="99">
        <v>0</v>
      </c>
      <c r="H28" s="130">
        <f t="shared" si="0"/>
        <v>0</v>
      </c>
      <c r="I28" s="131">
        <v>0</v>
      </c>
      <c r="J28" s="132">
        <f t="shared" si="1"/>
        <v>0</v>
      </c>
    </row>
    <row r="29" spans="1:10" ht="22.5" customHeight="1">
      <c r="A29" s="22"/>
      <c r="B29" s="226" t="s">
        <v>21</v>
      </c>
      <c r="C29" s="226"/>
      <c r="D29" s="226"/>
      <c r="E29" s="95" t="s">
        <v>36</v>
      </c>
      <c r="F29" s="98" t="s">
        <v>156</v>
      </c>
      <c r="G29" s="45">
        <v>1.06</v>
      </c>
      <c r="H29" s="130">
        <f t="shared" si="0"/>
        <v>45453.65</v>
      </c>
      <c r="I29" s="131">
        <f>$I$12*0.1</f>
        <v>574.73</v>
      </c>
      <c r="J29" s="132">
        <f t="shared" si="1"/>
        <v>46028.380000000005</v>
      </c>
    </row>
    <row r="30" spans="1:10" ht="15.75">
      <c r="A30" s="22"/>
      <c r="B30" s="233"/>
      <c r="C30" s="228"/>
      <c r="D30" s="229"/>
      <c r="E30" s="95"/>
      <c r="F30" s="98"/>
      <c r="G30" s="45"/>
      <c r="H30" s="130"/>
      <c r="I30" s="131"/>
      <c r="J30" s="133"/>
    </row>
    <row r="31" spans="1:10" ht="15.75">
      <c r="A31" s="22"/>
      <c r="B31" s="233"/>
      <c r="C31" s="228"/>
      <c r="D31" s="229"/>
      <c r="E31" s="95"/>
      <c r="F31" s="98"/>
      <c r="G31" s="45"/>
      <c r="H31" s="130"/>
      <c r="I31" s="131"/>
      <c r="J31" s="133"/>
    </row>
    <row r="32" spans="1:10" ht="15.75">
      <c r="A32" s="22"/>
      <c r="B32" s="215" t="s">
        <v>30</v>
      </c>
      <c r="C32" s="215"/>
      <c r="D32" s="215"/>
      <c r="E32" s="14"/>
      <c r="F32" s="98"/>
      <c r="G32" s="20">
        <f>SUM(G17:G29)</f>
        <v>9.520000000000001</v>
      </c>
      <c r="H32" s="120">
        <f>SUM(H17:H31)</f>
        <v>404885.90410000004</v>
      </c>
      <c r="I32" s="121">
        <f>SUM(I17:I31)</f>
        <v>4212.7708999999995</v>
      </c>
      <c r="J32" s="120">
        <f>SUM(J17:J31)</f>
        <v>409098.675</v>
      </c>
    </row>
    <row r="33" spans="1:10" ht="21.75" customHeight="1">
      <c r="A33" s="22"/>
      <c r="B33" s="230" t="s">
        <v>159</v>
      </c>
      <c r="C33" s="231"/>
      <c r="D33" s="232"/>
      <c r="E33" s="95" t="s">
        <v>9</v>
      </c>
      <c r="F33" s="98"/>
      <c r="G33" s="45"/>
      <c r="H33" s="130"/>
      <c r="I33" s="131"/>
      <c r="J33" s="133"/>
    </row>
    <row r="34" spans="1:10" ht="27.75" customHeight="1">
      <c r="A34" s="22"/>
      <c r="B34" s="230" t="s">
        <v>160</v>
      </c>
      <c r="C34" s="231"/>
      <c r="D34" s="232"/>
      <c r="E34" s="94" t="s">
        <v>36</v>
      </c>
      <c r="F34" s="98"/>
      <c r="G34" s="45"/>
      <c r="H34" s="130"/>
      <c r="I34" s="131"/>
      <c r="J34" s="133"/>
    </row>
    <row r="35" spans="1:10" ht="15.75">
      <c r="A35" s="22"/>
      <c r="B35" s="233"/>
      <c r="C35" s="228"/>
      <c r="D35" s="229"/>
      <c r="E35" s="95"/>
      <c r="F35" s="98"/>
      <c r="G35" s="45"/>
      <c r="H35" s="130"/>
      <c r="I35" s="131"/>
      <c r="J35" s="133"/>
    </row>
    <row r="36" spans="1:10" ht="15" customHeight="1">
      <c r="A36" s="22" t="s">
        <v>137</v>
      </c>
      <c r="B36" s="234" t="s">
        <v>161</v>
      </c>
      <c r="C36" s="235"/>
      <c r="D36" s="235"/>
      <c r="E36" s="236"/>
      <c r="F36" s="98" t="s">
        <v>156</v>
      </c>
      <c r="G36" s="23">
        <f>H36/E3/12</f>
        <v>0.19670808380440663</v>
      </c>
      <c r="H36" s="121">
        <v>8435</v>
      </c>
      <c r="I36" s="132">
        <v>0</v>
      </c>
      <c r="J36" s="124">
        <f>SUM(H36:I36)</f>
        <v>8435</v>
      </c>
    </row>
    <row r="37" spans="1:10" ht="14.25" customHeight="1">
      <c r="A37" s="25"/>
      <c r="B37" s="237" t="s">
        <v>70</v>
      </c>
      <c r="C37" s="237"/>
      <c r="D37" s="237"/>
      <c r="E37" s="237"/>
      <c r="F37" s="237"/>
      <c r="G37" s="20">
        <f>SUM(G32:G36)</f>
        <v>9.716708083804408</v>
      </c>
      <c r="H37" s="122">
        <f>SUM(H32:H36)</f>
        <v>413320.90410000004</v>
      </c>
      <c r="I37" s="123">
        <f>SUM(I32:I36)</f>
        <v>4212.7708999999995</v>
      </c>
      <c r="J37" s="122">
        <f>SUM(J32:J36)</f>
        <v>417533.675</v>
      </c>
    </row>
    <row r="38" spans="1:10" ht="15.75">
      <c r="A38" s="22" t="s">
        <v>138</v>
      </c>
      <c r="B38" s="238" t="s">
        <v>162</v>
      </c>
      <c r="C38" s="238"/>
      <c r="D38" s="238"/>
      <c r="E38" s="238"/>
      <c r="F38" s="238"/>
      <c r="G38" s="23"/>
      <c r="H38" s="123">
        <v>0</v>
      </c>
      <c r="I38" s="123">
        <v>0</v>
      </c>
      <c r="J38" s="133">
        <f>SUM(H38:I38)</f>
        <v>0</v>
      </c>
    </row>
    <row r="39" spans="1:10" ht="24.75" customHeight="1">
      <c r="A39" s="25"/>
      <c r="B39" s="237" t="s">
        <v>163</v>
      </c>
      <c r="C39" s="237"/>
      <c r="D39" s="237"/>
      <c r="E39" s="237"/>
      <c r="F39" s="237"/>
      <c r="G39" s="20">
        <f>SUM(G37:G38)</f>
        <v>9.716708083804408</v>
      </c>
      <c r="H39" s="122">
        <f>SUM(H37:H38)</f>
        <v>413320.90410000004</v>
      </c>
      <c r="I39" s="123">
        <f>SUM(I37:I38)</f>
        <v>4212.7708999999995</v>
      </c>
      <c r="J39" s="122">
        <f>SUM(J37:J38)</f>
        <v>417533.675</v>
      </c>
    </row>
    <row r="40" spans="1:10" ht="27" customHeight="1">
      <c r="A40" s="22">
        <v>3</v>
      </c>
      <c r="B40" s="202" t="s">
        <v>214</v>
      </c>
      <c r="C40" s="203"/>
      <c r="D40" s="203"/>
      <c r="E40" s="203"/>
      <c r="F40" s="203"/>
      <c r="G40" s="204"/>
      <c r="H40" s="130">
        <f>H14-H39</f>
        <v>66514.30589999998</v>
      </c>
      <c r="I40" s="130">
        <f>I14-I39</f>
        <v>1534.5291000000007</v>
      </c>
      <c r="J40" s="121">
        <f>J14-J39</f>
        <v>68048.83500000002</v>
      </c>
    </row>
    <row r="41" spans="2:6" ht="15.75">
      <c r="B41" s="33"/>
      <c r="F41" s="33"/>
    </row>
    <row r="42" spans="2:9" ht="15.75">
      <c r="B42" s="201" t="s">
        <v>217</v>
      </c>
      <c r="C42" s="201"/>
      <c r="D42" s="201"/>
      <c r="E42" s="201"/>
      <c r="F42" s="201"/>
      <c r="G42" s="201"/>
      <c r="H42" s="201"/>
      <c r="I42" s="201"/>
    </row>
    <row r="43" spans="2:4" ht="15.75">
      <c r="B43" s="33"/>
      <c r="C43" s="33"/>
      <c r="D43" s="33"/>
    </row>
    <row r="44" spans="2:4" ht="15.75">
      <c r="B44" s="43" t="s">
        <v>72</v>
      </c>
      <c r="C44" s="43"/>
      <c r="D44" s="43"/>
    </row>
    <row r="45" spans="2:9" ht="15.75">
      <c r="B45" s="205" t="s">
        <v>218</v>
      </c>
      <c r="C45" s="205"/>
      <c r="D45" s="205"/>
      <c r="E45" s="205"/>
      <c r="F45" s="205"/>
      <c r="G45" s="205"/>
      <c r="H45" s="205"/>
      <c r="I45" s="33"/>
    </row>
    <row r="46" spans="2:4" ht="15.75" customHeight="1">
      <c r="B46" s="196" t="s">
        <v>75</v>
      </c>
      <c r="C46" s="196"/>
      <c r="D46" s="196"/>
    </row>
  </sheetData>
  <mergeCells count="39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9:D29"/>
    <mergeCell ref="B30:D30"/>
    <mergeCell ref="B25:D25"/>
    <mergeCell ref="B26:D26"/>
    <mergeCell ref="B27:D27"/>
    <mergeCell ref="B28:D28"/>
    <mergeCell ref="B31:D31"/>
    <mergeCell ref="B32:D32"/>
    <mergeCell ref="B36:E36"/>
    <mergeCell ref="B37:F37"/>
    <mergeCell ref="B45:H45"/>
    <mergeCell ref="B46:D46"/>
    <mergeCell ref="B33:D33"/>
    <mergeCell ref="B34:D34"/>
    <mergeCell ref="B35:D35"/>
    <mergeCell ref="B38:F38"/>
    <mergeCell ref="B39:F39"/>
    <mergeCell ref="B40:G40"/>
    <mergeCell ref="B42:I42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50390625" style="0" customWidth="1"/>
    <col min="6" max="6" width="9.25390625" style="0" hidden="1" customWidth="1"/>
    <col min="7" max="7" width="5.875" style="0" hidden="1" customWidth="1"/>
    <col min="8" max="8" width="13.00390625" style="0" customWidth="1"/>
    <col min="9" max="9" width="9.875" style="0" bestFit="1" customWidth="1"/>
  </cols>
  <sheetData>
    <row r="1" spans="1:8" ht="120" customHeight="1">
      <c r="A1" s="197" t="s">
        <v>219</v>
      </c>
      <c r="B1" s="197"/>
      <c r="C1" s="197"/>
      <c r="D1" s="197"/>
      <c r="E1" s="197"/>
      <c r="F1" s="197"/>
      <c r="G1" s="197"/>
      <c r="H1" s="197"/>
    </row>
    <row r="2" spans="1:6" ht="18.75">
      <c r="A2" s="1" t="s">
        <v>139</v>
      </c>
      <c r="B2" s="1" t="s">
        <v>84</v>
      </c>
      <c r="C2" s="2"/>
      <c r="D2" s="2" t="s">
        <v>0</v>
      </c>
      <c r="E2" s="26">
        <v>3573.4</v>
      </c>
      <c r="F2" s="2"/>
    </row>
    <row r="3" spans="2:6" ht="15.75">
      <c r="B3" s="3" t="s">
        <v>1</v>
      </c>
      <c r="C3" s="44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6" customHeight="1">
      <c r="A6" s="76" t="s">
        <v>55</v>
      </c>
      <c r="B6" s="244" t="s">
        <v>142</v>
      </c>
      <c r="C6" s="245"/>
      <c r="D6" s="246"/>
      <c r="E6" s="77" t="s">
        <v>6</v>
      </c>
      <c r="F6" s="77" t="s">
        <v>7</v>
      </c>
      <c r="G6" s="102" t="s">
        <v>196</v>
      </c>
      <c r="H6" s="103" t="s">
        <v>132</v>
      </c>
    </row>
    <row r="7" spans="1:8" ht="15.75" customHeight="1">
      <c r="A7" s="78">
        <v>1</v>
      </c>
      <c r="B7" s="247" t="s">
        <v>133</v>
      </c>
      <c r="C7" s="247"/>
      <c r="D7" s="247"/>
      <c r="E7" s="247"/>
      <c r="F7" s="247"/>
      <c r="G7" s="79"/>
      <c r="H7" s="104"/>
    </row>
    <row r="8" spans="1:8" ht="33.75" customHeight="1">
      <c r="A8" s="78"/>
      <c r="B8" s="209" t="s">
        <v>197</v>
      </c>
      <c r="C8" s="209"/>
      <c r="D8" s="209"/>
      <c r="E8" s="209"/>
      <c r="F8" s="209"/>
      <c r="G8" s="23">
        <f>G30</f>
        <v>10.89</v>
      </c>
      <c r="H8" s="80">
        <f>ROUND(E2*G8*12,2)</f>
        <v>466971.91</v>
      </c>
    </row>
    <row r="9" spans="1:8" ht="15.75" customHeight="1">
      <c r="A9" s="78"/>
      <c r="B9" s="243" t="s">
        <v>134</v>
      </c>
      <c r="C9" s="243"/>
      <c r="D9" s="243"/>
      <c r="E9" s="243"/>
      <c r="F9" s="243"/>
      <c r="G9" s="22">
        <v>0.78</v>
      </c>
      <c r="H9" s="104">
        <f>ROUND($E$2*G9*12,0)</f>
        <v>33447</v>
      </c>
    </row>
    <row r="10" spans="1:8" ht="18.75" customHeight="1">
      <c r="A10" s="78">
        <v>2</v>
      </c>
      <c r="B10" s="192" t="s">
        <v>68</v>
      </c>
      <c r="C10" s="192"/>
      <c r="D10" s="192"/>
      <c r="E10" s="192"/>
      <c r="F10" s="192"/>
      <c r="G10" s="45"/>
      <c r="H10" s="104"/>
    </row>
    <row r="11" spans="1:8" ht="15.75" customHeight="1">
      <c r="A11" s="78"/>
      <c r="B11" s="18" t="s">
        <v>69</v>
      </c>
      <c r="C11" s="18"/>
      <c r="D11" s="18"/>
      <c r="E11" s="18"/>
      <c r="F11" s="5"/>
      <c r="G11" s="90"/>
      <c r="H11" s="104"/>
    </row>
    <row r="12" spans="1:8" ht="32.25" customHeight="1">
      <c r="A12" s="105"/>
      <c r="B12" s="241" t="s">
        <v>212</v>
      </c>
      <c r="C12" s="241"/>
      <c r="D12" s="241"/>
      <c r="E12" s="94" t="s">
        <v>32</v>
      </c>
      <c r="F12" s="81" t="s">
        <v>24</v>
      </c>
      <c r="G12" s="47">
        <v>1.09</v>
      </c>
      <c r="H12" s="80">
        <f aca="true" t="shared" si="0" ref="H12:H30">ROUND($E$2*G12*12,0)</f>
        <v>46740</v>
      </c>
    </row>
    <row r="13" spans="1:8" ht="18.75" customHeight="1">
      <c r="A13" s="105"/>
      <c r="B13" s="241" t="s">
        <v>17</v>
      </c>
      <c r="C13" s="241"/>
      <c r="D13" s="241"/>
      <c r="E13" s="94" t="s">
        <v>32</v>
      </c>
      <c r="F13" s="81" t="s">
        <v>19</v>
      </c>
      <c r="G13" s="47">
        <v>0.29</v>
      </c>
      <c r="H13" s="80">
        <f t="shared" si="0"/>
        <v>12435</v>
      </c>
    </row>
    <row r="14" spans="1:8" ht="18.75" customHeight="1">
      <c r="A14" s="105"/>
      <c r="B14" s="239" t="s">
        <v>23</v>
      </c>
      <c r="C14" s="239"/>
      <c r="D14" s="239"/>
      <c r="E14" s="95" t="s">
        <v>153</v>
      </c>
      <c r="F14" s="46" t="s">
        <v>20</v>
      </c>
      <c r="G14" s="47">
        <v>0.4</v>
      </c>
      <c r="H14" s="80">
        <f t="shared" si="0"/>
        <v>17152</v>
      </c>
    </row>
    <row r="15" spans="1:8" ht="15.75" customHeight="1">
      <c r="A15" s="105"/>
      <c r="B15" s="242" t="s">
        <v>31</v>
      </c>
      <c r="C15" s="242"/>
      <c r="D15" s="242"/>
      <c r="E15" s="96" t="s">
        <v>9</v>
      </c>
      <c r="F15" s="82" t="s">
        <v>10</v>
      </c>
      <c r="G15" s="47">
        <v>0.53</v>
      </c>
      <c r="H15" s="80">
        <f t="shared" si="0"/>
        <v>22727</v>
      </c>
    </row>
    <row r="16" spans="1:8" ht="51.75" customHeight="1">
      <c r="A16" s="105"/>
      <c r="B16" s="239" t="s">
        <v>27</v>
      </c>
      <c r="C16" s="239"/>
      <c r="D16" s="239"/>
      <c r="E16" s="95" t="s">
        <v>154</v>
      </c>
      <c r="F16" s="46" t="s">
        <v>25</v>
      </c>
      <c r="G16" s="47">
        <v>0.12</v>
      </c>
      <c r="H16" s="80">
        <f t="shared" si="0"/>
        <v>5146</v>
      </c>
    </row>
    <row r="17" spans="1:8" ht="34.5" customHeight="1">
      <c r="A17" s="105"/>
      <c r="B17" s="239" t="s">
        <v>11</v>
      </c>
      <c r="C17" s="239"/>
      <c r="D17" s="239"/>
      <c r="E17" s="95" t="s">
        <v>9</v>
      </c>
      <c r="F17" s="46" t="s">
        <v>12</v>
      </c>
      <c r="G17" s="47">
        <v>0</v>
      </c>
      <c r="H17" s="80">
        <f t="shared" si="0"/>
        <v>0</v>
      </c>
    </row>
    <row r="18" spans="1:8" ht="30.75" customHeight="1">
      <c r="A18" s="105"/>
      <c r="B18" s="239" t="s">
        <v>26</v>
      </c>
      <c r="C18" s="240"/>
      <c r="D18" s="240"/>
      <c r="E18" s="97" t="s">
        <v>13</v>
      </c>
      <c r="F18" s="45" t="s">
        <v>198</v>
      </c>
      <c r="G18" s="47">
        <v>0.05</v>
      </c>
      <c r="H18" s="80">
        <f t="shared" si="0"/>
        <v>2144</v>
      </c>
    </row>
    <row r="19" spans="1:8" ht="30" customHeight="1">
      <c r="A19" s="105"/>
      <c r="B19" s="239" t="s">
        <v>155</v>
      </c>
      <c r="C19" s="239"/>
      <c r="D19" s="239"/>
      <c r="E19" s="94" t="s">
        <v>36</v>
      </c>
      <c r="F19" s="46" t="s">
        <v>156</v>
      </c>
      <c r="G19" s="47">
        <v>2.21</v>
      </c>
      <c r="H19" s="80">
        <f t="shared" si="0"/>
        <v>94767</v>
      </c>
    </row>
    <row r="20" spans="1:8" ht="52.5" customHeight="1">
      <c r="A20" s="105"/>
      <c r="B20" s="241" t="s">
        <v>15</v>
      </c>
      <c r="C20" s="241"/>
      <c r="D20" s="241"/>
      <c r="E20" s="94" t="s">
        <v>135</v>
      </c>
      <c r="F20" s="46" t="s">
        <v>156</v>
      </c>
      <c r="G20" s="47">
        <v>0.45</v>
      </c>
      <c r="H20" s="80">
        <f t="shared" si="0"/>
        <v>19296</v>
      </c>
    </row>
    <row r="21" spans="1:8" ht="30.75" customHeight="1">
      <c r="A21" s="105"/>
      <c r="B21" s="239" t="s">
        <v>37</v>
      </c>
      <c r="C21" s="240"/>
      <c r="D21" s="240"/>
      <c r="E21" s="94" t="s">
        <v>36</v>
      </c>
      <c r="F21" s="46" t="s">
        <v>156</v>
      </c>
      <c r="G21" s="47">
        <f>3.57-G22-G23</f>
        <v>3.57</v>
      </c>
      <c r="H21" s="80">
        <f t="shared" si="0"/>
        <v>153084</v>
      </c>
    </row>
    <row r="22" spans="1:8" ht="16.5" customHeight="1">
      <c r="A22" s="105"/>
      <c r="B22" s="239" t="s">
        <v>199</v>
      </c>
      <c r="C22" s="239"/>
      <c r="D22" s="239"/>
      <c r="E22" s="95" t="s">
        <v>9</v>
      </c>
      <c r="F22" s="46" t="s">
        <v>156</v>
      </c>
      <c r="G22" s="47">
        <v>0</v>
      </c>
      <c r="H22" s="135">
        <f t="shared" si="0"/>
        <v>0</v>
      </c>
    </row>
    <row r="23" spans="1:8" ht="22.5" customHeight="1">
      <c r="A23" s="105"/>
      <c r="B23" s="239" t="s">
        <v>158</v>
      </c>
      <c r="C23" s="239"/>
      <c r="D23" s="239"/>
      <c r="E23" s="95" t="s">
        <v>9</v>
      </c>
      <c r="F23" s="46" t="s">
        <v>156</v>
      </c>
      <c r="G23" s="47">
        <v>0</v>
      </c>
      <c r="H23" s="135">
        <f t="shared" si="0"/>
        <v>0</v>
      </c>
    </row>
    <row r="24" spans="1:8" ht="24" customHeight="1">
      <c r="A24" s="105"/>
      <c r="B24" s="240" t="s">
        <v>21</v>
      </c>
      <c r="C24" s="240"/>
      <c r="D24" s="240"/>
      <c r="E24" s="94" t="s">
        <v>36</v>
      </c>
      <c r="F24" s="46" t="s">
        <v>156</v>
      </c>
      <c r="G24" s="47">
        <v>1.09</v>
      </c>
      <c r="H24" s="80">
        <f t="shared" si="0"/>
        <v>46740</v>
      </c>
    </row>
    <row r="25" spans="1:8" ht="15.75">
      <c r="A25" s="22"/>
      <c r="B25" s="230" t="s">
        <v>159</v>
      </c>
      <c r="C25" s="231"/>
      <c r="D25" s="232"/>
      <c r="E25" s="95" t="s">
        <v>9</v>
      </c>
      <c r="F25" s="46"/>
      <c r="G25" s="47"/>
      <c r="H25" s="80"/>
    </row>
    <row r="26" spans="1:8" ht="12.75" customHeight="1">
      <c r="A26" s="22"/>
      <c r="B26" s="230" t="s">
        <v>160</v>
      </c>
      <c r="C26" s="231"/>
      <c r="D26" s="232"/>
      <c r="E26" s="94" t="s">
        <v>36</v>
      </c>
      <c r="F26" s="46"/>
      <c r="G26" s="47"/>
      <c r="H26" s="80"/>
    </row>
    <row r="27" spans="1:8" ht="15.75">
      <c r="A27" s="105"/>
      <c r="B27" s="233"/>
      <c r="C27" s="228"/>
      <c r="D27" s="229"/>
      <c r="E27" s="94"/>
      <c r="F27" s="46"/>
      <c r="G27" s="47"/>
      <c r="H27" s="80"/>
    </row>
    <row r="28" spans="1:8" ht="20.25" customHeight="1">
      <c r="A28" s="105"/>
      <c r="B28" s="248" t="s">
        <v>30</v>
      </c>
      <c r="C28" s="249"/>
      <c r="D28" s="250"/>
      <c r="E28" s="14"/>
      <c r="F28" s="46"/>
      <c r="G28" s="20">
        <f>SUM(G12:G27)</f>
        <v>9.8</v>
      </c>
      <c r="H28" s="80">
        <f t="shared" si="0"/>
        <v>420232</v>
      </c>
    </row>
    <row r="29" spans="1:8" ht="15.75" customHeight="1">
      <c r="A29" s="78" t="s">
        <v>137</v>
      </c>
      <c r="B29" s="234" t="s">
        <v>220</v>
      </c>
      <c r="C29" s="235"/>
      <c r="D29" s="235"/>
      <c r="E29" s="236"/>
      <c r="F29" s="50" t="s">
        <v>201</v>
      </c>
      <c r="G29" s="23">
        <v>1.09</v>
      </c>
      <c r="H29" s="80">
        <v>54900</v>
      </c>
    </row>
    <row r="30" spans="1:8" ht="15.75" customHeight="1">
      <c r="A30" s="78"/>
      <c r="B30" s="251" t="s">
        <v>202</v>
      </c>
      <c r="C30" s="251"/>
      <c r="D30" s="251"/>
      <c r="E30" s="251"/>
      <c r="F30" s="251"/>
      <c r="G30" s="20">
        <f>SUM(G28:G29)</f>
        <v>10.89</v>
      </c>
      <c r="H30" s="106">
        <f t="shared" si="0"/>
        <v>466972</v>
      </c>
    </row>
    <row r="31" spans="1:8" ht="15.75" customHeight="1" thickBot="1">
      <c r="A31" s="107">
        <v>3</v>
      </c>
      <c r="B31" s="252" t="s">
        <v>221</v>
      </c>
      <c r="C31" s="253"/>
      <c r="D31" s="254"/>
      <c r="E31" s="108"/>
      <c r="F31" s="109" t="s">
        <v>201</v>
      </c>
      <c r="G31" s="83">
        <v>0.78</v>
      </c>
      <c r="H31" s="110">
        <f>ROUND($E$2*G31*12,0)</f>
        <v>33447</v>
      </c>
    </row>
    <row r="32" spans="1:8" ht="47.25" customHeight="1">
      <c r="A32" s="111"/>
      <c r="B32" s="255" t="s">
        <v>222</v>
      </c>
      <c r="C32" s="255"/>
      <c r="D32" s="255"/>
      <c r="E32" s="255"/>
      <c r="F32" s="113"/>
      <c r="G32" s="84"/>
      <c r="H32" s="114"/>
    </row>
    <row r="33" spans="1:9" ht="18.75" customHeight="1">
      <c r="A33" s="115" t="s">
        <v>204</v>
      </c>
      <c r="B33" s="115"/>
      <c r="C33" s="115"/>
      <c r="D33" s="115"/>
      <c r="E33" s="115"/>
      <c r="F33" s="115"/>
      <c r="G33" s="115"/>
      <c r="H33" s="115"/>
      <c r="I33" s="115"/>
    </row>
    <row r="34" spans="1:8" ht="15.75">
      <c r="A34" s="201" t="s">
        <v>223</v>
      </c>
      <c r="B34" s="201"/>
      <c r="C34" s="201"/>
      <c r="D34" s="201"/>
      <c r="E34" s="201"/>
      <c r="F34" s="201"/>
      <c r="G34" s="201"/>
      <c r="H34" s="201"/>
    </row>
    <row r="35" spans="2:4" ht="15.75" customHeight="1">
      <c r="B35" s="43"/>
      <c r="C35" s="43"/>
      <c r="D35" s="43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206</v>
      </c>
    </row>
    <row r="37" spans="2:4" ht="15.75" customHeight="1">
      <c r="B37" s="116"/>
      <c r="C37" s="116"/>
      <c r="D37" s="116"/>
    </row>
  </sheetData>
  <mergeCells count="28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0:F30"/>
    <mergeCell ref="B31:D31"/>
    <mergeCell ref="A34:H34"/>
    <mergeCell ref="B26:D26"/>
    <mergeCell ref="B27:D27"/>
    <mergeCell ref="B28:D28"/>
    <mergeCell ref="B29:E29"/>
    <mergeCell ref="B32:E32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I35" sqref="I35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50390625" style="0" customWidth="1"/>
    <col min="6" max="6" width="9.25390625" style="0" hidden="1" customWidth="1"/>
    <col min="7" max="7" width="11.00390625" style="0" customWidth="1"/>
    <col min="8" max="8" width="13.00390625" style="0" customWidth="1"/>
    <col min="9" max="9" width="9.875" style="0" bestFit="1" customWidth="1"/>
  </cols>
  <sheetData>
    <row r="1" spans="3:8" ht="78" customHeight="1">
      <c r="C1" s="258" t="s">
        <v>228</v>
      </c>
      <c r="D1" s="258"/>
      <c r="E1" s="258"/>
      <c r="F1" s="258"/>
      <c r="G1" s="258"/>
      <c r="H1" s="258"/>
    </row>
    <row r="3" spans="1:8" ht="20.25" customHeight="1">
      <c r="A3" s="197" t="s">
        <v>226</v>
      </c>
      <c r="B3" s="197"/>
      <c r="C3" s="197"/>
      <c r="D3" s="197"/>
      <c r="E3" s="197"/>
      <c r="F3" s="197"/>
      <c r="G3" s="197"/>
      <c r="H3" s="197"/>
    </row>
    <row r="4" spans="1:5" ht="19.5">
      <c r="A4" s="136"/>
      <c r="B4" s="136"/>
      <c r="C4" s="136"/>
      <c r="D4" s="136"/>
      <c r="E4" s="136"/>
    </row>
    <row r="5" spans="1:5" ht="15.75" customHeight="1">
      <c r="A5" s="257" t="s">
        <v>227</v>
      </c>
      <c r="B5" s="257"/>
      <c r="C5" s="257"/>
      <c r="D5" s="257"/>
      <c r="E5" s="257"/>
    </row>
    <row r="7" spans="1:6" ht="18.75">
      <c r="A7" s="1" t="s">
        <v>139</v>
      </c>
      <c r="B7" s="1" t="s">
        <v>84</v>
      </c>
      <c r="C7" s="2"/>
      <c r="D7" s="2" t="s">
        <v>0</v>
      </c>
      <c r="E7" s="26">
        <v>3573.4</v>
      </c>
      <c r="F7" s="2"/>
    </row>
    <row r="8" spans="2:6" ht="15.75">
      <c r="B8" s="3" t="s">
        <v>1</v>
      </c>
      <c r="C8" s="44">
        <v>5</v>
      </c>
      <c r="D8" s="2" t="s">
        <v>2</v>
      </c>
      <c r="E8" s="27">
        <v>80</v>
      </c>
      <c r="F8" s="2"/>
    </row>
    <row r="9" spans="2:7" ht="15.75">
      <c r="B9" s="3" t="s">
        <v>3</v>
      </c>
      <c r="C9" s="4">
        <v>4</v>
      </c>
      <c r="D9" s="2" t="s">
        <v>4</v>
      </c>
      <c r="E9" s="2" t="s">
        <v>16</v>
      </c>
      <c r="F9" s="2"/>
      <c r="G9" s="2"/>
    </row>
    <row r="10" spans="2:7" ht="16.5" thickBot="1">
      <c r="B10" s="3"/>
      <c r="C10" s="4"/>
      <c r="D10" s="2" t="s">
        <v>5</v>
      </c>
      <c r="E10" s="2" t="s">
        <v>16</v>
      </c>
      <c r="F10" s="2"/>
      <c r="G10" s="2"/>
    </row>
    <row r="11" spans="1:8" ht="104.25" customHeight="1">
      <c r="A11" s="76" t="s">
        <v>55</v>
      </c>
      <c r="B11" s="244" t="s">
        <v>142</v>
      </c>
      <c r="C11" s="245"/>
      <c r="D11" s="246"/>
      <c r="E11" s="77" t="s">
        <v>6</v>
      </c>
      <c r="F11" s="77" t="s">
        <v>7</v>
      </c>
      <c r="G11" s="138" t="s">
        <v>224</v>
      </c>
      <c r="H11" s="139" t="s">
        <v>225</v>
      </c>
    </row>
    <row r="12" spans="1:8" ht="22.5" customHeight="1">
      <c r="A12" s="141">
        <v>1</v>
      </c>
      <c r="B12" s="259">
        <v>2</v>
      </c>
      <c r="C12" s="260"/>
      <c r="D12" s="261"/>
      <c r="E12" s="142">
        <v>3</v>
      </c>
      <c r="F12" s="140"/>
      <c r="G12" s="143">
        <v>4</v>
      </c>
      <c r="H12" s="144" t="s">
        <v>229</v>
      </c>
    </row>
    <row r="13" spans="1:8" ht="15.75" customHeight="1" hidden="1">
      <c r="A13" s="78">
        <v>1</v>
      </c>
      <c r="B13" s="247" t="s">
        <v>133</v>
      </c>
      <c r="C13" s="247"/>
      <c r="D13" s="247"/>
      <c r="E13" s="247"/>
      <c r="F13" s="247"/>
      <c r="G13" s="79"/>
      <c r="H13" s="104"/>
    </row>
    <row r="14" spans="1:8" ht="33.75" customHeight="1" hidden="1">
      <c r="A14" s="78"/>
      <c r="B14" s="209" t="s">
        <v>197</v>
      </c>
      <c r="C14" s="209"/>
      <c r="D14" s="209"/>
      <c r="E14" s="209"/>
      <c r="F14" s="209"/>
      <c r="G14" s="23">
        <f>G36</f>
        <v>11.21</v>
      </c>
      <c r="H14" s="80">
        <f>ROUND(E7*G14*12,2)</f>
        <v>480693.77</v>
      </c>
    </row>
    <row r="15" spans="1:8" ht="15.75" customHeight="1" hidden="1">
      <c r="A15" s="78"/>
      <c r="B15" s="243" t="s">
        <v>134</v>
      </c>
      <c r="C15" s="243"/>
      <c r="D15" s="243"/>
      <c r="E15" s="243"/>
      <c r="F15" s="243"/>
      <c r="G15" s="22">
        <v>0.78</v>
      </c>
      <c r="H15" s="104">
        <f>ROUND($E$7*G15*12,0)</f>
        <v>33447</v>
      </c>
    </row>
    <row r="16" spans="1:8" ht="18.75" customHeight="1">
      <c r="A16" s="78">
        <v>1</v>
      </c>
      <c r="B16" s="192" t="s">
        <v>68</v>
      </c>
      <c r="C16" s="192"/>
      <c r="D16" s="192"/>
      <c r="E16" s="192"/>
      <c r="F16" s="192"/>
      <c r="G16" s="45"/>
      <c r="H16" s="104"/>
    </row>
    <row r="17" spans="1:8" ht="15.75" customHeight="1">
      <c r="A17" s="78">
        <v>1.1</v>
      </c>
      <c r="B17" s="18" t="s">
        <v>69</v>
      </c>
      <c r="C17" s="18"/>
      <c r="D17" s="18"/>
      <c r="E17" s="18"/>
      <c r="F17" s="5"/>
      <c r="G17" s="90"/>
      <c r="H17" s="104"/>
    </row>
    <row r="18" spans="1:8" ht="32.25" customHeight="1">
      <c r="A18" s="105"/>
      <c r="B18" s="241" t="s">
        <v>212</v>
      </c>
      <c r="C18" s="241"/>
      <c r="D18" s="241"/>
      <c r="E18" s="94" t="s">
        <v>32</v>
      </c>
      <c r="F18" s="81" t="s">
        <v>24</v>
      </c>
      <c r="G18" s="47">
        <v>1.12</v>
      </c>
      <c r="H18" s="80">
        <f>ROUND($E$7*G18*6,0)</f>
        <v>24013</v>
      </c>
    </row>
    <row r="19" spans="1:8" ht="18.75" customHeight="1">
      <c r="A19" s="105"/>
      <c r="B19" s="241" t="s">
        <v>17</v>
      </c>
      <c r="C19" s="241"/>
      <c r="D19" s="241"/>
      <c r="E19" s="94" t="s">
        <v>32</v>
      </c>
      <c r="F19" s="81" t="s">
        <v>19</v>
      </c>
      <c r="G19" s="47">
        <v>0.3</v>
      </c>
      <c r="H19" s="80">
        <f aca="true" t="shared" si="0" ref="H19:H37">ROUND($E$7*G19*6,0)</f>
        <v>6432</v>
      </c>
    </row>
    <row r="20" spans="1:8" ht="18.75" customHeight="1">
      <c r="A20" s="105"/>
      <c r="B20" s="239" t="s">
        <v>23</v>
      </c>
      <c r="C20" s="239"/>
      <c r="D20" s="239"/>
      <c r="E20" s="95" t="s">
        <v>153</v>
      </c>
      <c r="F20" s="46" t="s">
        <v>20</v>
      </c>
      <c r="G20" s="47">
        <v>0.41</v>
      </c>
      <c r="H20" s="80">
        <f t="shared" si="0"/>
        <v>8791</v>
      </c>
    </row>
    <row r="21" spans="1:8" ht="15.75" customHeight="1">
      <c r="A21" s="105"/>
      <c r="B21" s="242" t="s">
        <v>31</v>
      </c>
      <c r="C21" s="242"/>
      <c r="D21" s="242"/>
      <c r="E21" s="96" t="s">
        <v>9</v>
      </c>
      <c r="F21" s="82" t="s">
        <v>10</v>
      </c>
      <c r="G21" s="47">
        <v>0.54</v>
      </c>
      <c r="H21" s="80">
        <f t="shared" si="0"/>
        <v>11578</v>
      </c>
    </row>
    <row r="22" spans="1:8" ht="51.75" customHeight="1">
      <c r="A22" s="105"/>
      <c r="B22" s="239" t="s">
        <v>27</v>
      </c>
      <c r="C22" s="239"/>
      <c r="D22" s="239"/>
      <c r="E22" s="95" t="s">
        <v>154</v>
      </c>
      <c r="F22" s="46" t="s">
        <v>25</v>
      </c>
      <c r="G22" s="47">
        <v>0.13</v>
      </c>
      <c r="H22" s="80">
        <f t="shared" si="0"/>
        <v>2787</v>
      </c>
    </row>
    <row r="23" spans="1:8" ht="34.5" customHeight="1">
      <c r="A23" s="105"/>
      <c r="B23" s="239" t="s">
        <v>11</v>
      </c>
      <c r="C23" s="239"/>
      <c r="D23" s="239"/>
      <c r="E23" s="95" t="s">
        <v>9</v>
      </c>
      <c r="F23" s="46" t="s">
        <v>12</v>
      </c>
      <c r="G23" s="47">
        <v>0</v>
      </c>
      <c r="H23" s="80">
        <f t="shared" si="0"/>
        <v>0</v>
      </c>
    </row>
    <row r="24" spans="1:8" ht="30.75" customHeight="1">
      <c r="A24" s="105"/>
      <c r="B24" s="239" t="s">
        <v>26</v>
      </c>
      <c r="C24" s="240"/>
      <c r="D24" s="240"/>
      <c r="E24" s="97" t="s">
        <v>13</v>
      </c>
      <c r="F24" s="45" t="s">
        <v>198</v>
      </c>
      <c r="G24" s="47">
        <v>0.05</v>
      </c>
      <c r="H24" s="80">
        <f t="shared" si="0"/>
        <v>1072</v>
      </c>
    </row>
    <row r="25" spans="1:8" ht="30" customHeight="1">
      <c r="A25" s="105"/>
      <c r="B25" s="239" t="s">
        <v>155</v>
      </c>
      <c r="C25" s="239"/>
      <c r="D25" s="239"/>
      <c r="E25" s="94" t="s">
        <v>36</v>
      </c>
      <c r="F25" s="46" t="s">
        <v>156</v>
      </c>
      <c r="G25" s="47">
        <v>2.28</v>
      </c>
      <c r="H25" s="80">
        <f t="shared" si="0"/>
        <v>48884</v>
      </c>
    </row>
    <row r="26" spans="1:8" ht="52.5" customHeight="1">
      <c r="A26" s="105"/>
      <c r="B26" s="241" t="s">
        <v>15</v>
      </c>
      <c r="C26" s="241"/>
      <c r="D26" s="241"/>
      <c r="E26" s="94" t="s">
        <v>135</v>
      </c>
      <c r="F26" s="46" t="s">
        <v>156</v>
      </c>
      <c r="G26" s="47">
        <v>0.47</v>
      </c>
      <c r="H26" s="80">
        <f t="shared" si="0"/>
        <v>10077</v>
      </c>
    </row>
    <row r="27" spans="1:8" ht="30.75" customHeight="1">
      <c r="A27" s="105"/>
      <c r="B27" s="239" t="s">
        <v>37</v>
      </c>
      <c r="C27" s="240"/>
      <c r="D27" s="240"/>
      <c r="E27" s="94" t="s">
        <v>36</v>
      </c>
      <c r="F27" s="46" t="s">
        <v>156</v>
      </c>
      <c r="G27" s="47">
        <f>3.67-G28-G29</f>
        <v>3.67</v>
      </c>
      <c r="H27" s="80">
        <f t="shared" si="0"/>
        <v>78686</v>
      </c>
    </row>
    <row r="28" spans="1:8" ht="16.5" customHeight="1">
      <c r="A28" s="105"/>
      <c r="B28" s="239" t="s">
        <v>199</v>
      </c>
      <c r="C28" s="239"/>
      <c r="D28" s="239"/>
      <c r="E28" s="95" t="s">
        <v>9</v>
      </c>
      <c r="F28" s="46" t="s">
        <v>156</v>
      </c>
      <c r="G28" s="47">
        <v>0</v>
      </c>
      <c r="H28" s="80">
        <f t="shared" si="0"/>
        <v>0</v>
      </c>
    </row>
    <row r="29" spans="1:8" ht="22.5" customHeight="1">
      <c r="A29" s="105"/>
      <c r="B29" s="239" t="s">
        <v>158</v>
      </c>
      <c r="C29" s="239"/>
      <c r="D29" s="239"/>
      <c r="E29" s="95" t="s">
        <v>9</v>
      </c>
      <c r="F29" s="46" t="s">
        <v>156</v>
      </c>
      <c r="G29" s="47">
        <v>0</v>
      </c>
      <c r="H29" s="80">
        <f t="shared" si="0"/>
        <v>0</v>
      </c>
    </row>
    <row r="30" spans="1:8" ht="24" customHeight="1">
      <c r="A30" s="105"/>
      <c r="B30" s="240" t="s">
        <v>21</v>
      </c>
      <c r="C30" s="240"/>
      <c r="D30" s="240"/>
      <c r="E30" s="94" t="s">
        <v>36</v>
      </c>
      <c r="F30" s="46" t="s">
        <v>156</v>
      </c>
      <c r="G30" s="47">
        <v>1.12</v>
      </c>
      <c r="H30" s="80">
        <f t="shared" si="0"/>
        <v>24013</v>
      </c>
    </row>
    <row r="31" spans="1:8" ht="15.75" hidden="1">
      <c r="A31" s="22"/>
      <c r="B31" s="230" t="s">
        <v>159</v>
      </c>
      <c r="C31" s="231"/>
      <c r="D31" s="232"/>
      <c r="E31" s="95" t="s">
        <v>9</v>
      </c>
      <c r="F31" s="46"/>
      <c r="G31" s="47"/>
      <c r="H31" s="80">
        <f t="shared" si="0"/>
        <v>0</v>
      </c>
    </row>
    <row r="32" spans="1:8" ht="12.75" customHeight="1" hidden="1">
      <c r="A32" s="22"/>
      <c r="B32" s="230" t="s">
        <v>160</v>
      </c>
      <c r="C32" s="231"/>
      <c r="D32" s="232"/>
      <c r="E32" s="94" t="s">
        <v>36</v>
      </c>
      <c r="F32" s="46"/>
      <c r="G32" s="47"/>
      <c r="H32" s="80">
        <f t="shared" si="0"/>
        <v>0</v>
      </c>
    </row>
    <row r="33" spans="1:8" ht="15.75">
      <c r="A33" s="105"/>
      <c r="B33" s="233"/>
      <c r="C33" s="228"/>
      <c r="D33" s="229"/>
      <c r="E33" s="94"/>
      <c r="F33" s="46"/>
      <c r="G33" s="47"/>
      <c r="H33" s="80"/>
    </row>
    <row r="34" spans="1:8" ht="20.25" customHeight="1">
      <c r="A34" s="105"/>
      <c r="B34" s="248" t="s">
        <v>30</v>
      </c>
      <c r="C34" s="249"/>
      <c r="D34" s="250"/>
      <c r="E34" s="14"/>
      <c r="F34" s="46"/>
      <c r="G34" s="20">
        <f>SUM(G18:G33)</f>
        <v>10.09</v>
      </c>
      <c r="H34" s="80">
        <f t="shared" si="0"/>
        <v>216334</v>
      </c>
    </row>
    <row r="35" spans="1:8" ht="15.75" customHeight="1">
      <c r="A35" s="78">
        <v>1.2</v>
      </c>
      <c r="B35" s="234" t="s">
        <v>220</v>
      </c>
      <c r="C35" s="235"/>
      <c r="D35" s="235"/>
      <c r="E35" s="145" t="s">
        <v>234</v>
      </c>
      <c r="F35" s="50" t="s">
        <v>201</v>
      </c>
      <c r="G35" s="23">
        <v>1.12</v>
      </c>
      <c r="H35" s="80">
        <f t="shared" si="0"/>
        <v>24013</v>
      </c>
    </row>
    <row r="36" spans="1:8" ht="15.75" customHeight="1">
      <c r="A36" s="78">
        <v>1.3</v>
      </c>
      <c r="B36" s="251" t="s">
        <v>202</v>
      </c>
      <c r="C36" s="251"/>
      <c r="D36" s="251"/>
      <c r="E36" s="251"/>
      <c r="F36" s="251"/>
      <c r="G36" s="20">
        <f>SUM(G34:G35)</f>
        <v>11.21</v>
      </c>
      <c r="H36" s="80">
        <f t="shared" si="0"/>
        <v>240347</v>
      </c>
    </row>
    <row r="37" spans="1:8" ht="15.75" customHeight="1" thickBot="1">
      <c r="A37" s="107">
        <v>2</v>
      </c>
      <c r="B37" s="252" t="s">
        <v>221</v>
      </c>
      <c r="C37" s="253"/>
      <c r="D37" s="254"/>
      <c r="E37" s="145" t="s">
        <v>234</v>
      </c>
      <c r="F37" s="109" t="s">
        <v>201</v>
      </c>
      <c r="G37" s="20">
        <v>0.8</v>
      </c>
      <c r="H37" s="80">
        <f t="shared" si="0"/>
        <v>17152</v>
      </c>
    </row>
    <row r="38" spans="1:8" ht="47.25" customHeight="1" hidden="1">
      <c r="A38" s="111"/>
      <c r="B38" s="255" t="s">
        <v>222</v>
      </c>
      <c r="C38" s="255"/>
      <c r="D38" s="255"/>
      <c r="E38" s="255"/>
      <c r="F38" s="113"/>
      <c r="G38" s="84"/>
      <c r="H38" s="114"/>
    </row>
    <row r="39" spans="1:9" ht="18.75" customHeight="1">
      <c r="A39" s="115" t="s">
        <v>204</v>
      </c>
      <c r="B39" s="115"/>
      <c r="C39" s="115"/>
      <c r="D39" s="115"/>
      <c r="E39" s="115"/>
      <c r="F39" s="115"/>
      <c r="G39" s="115"/>
      <c r="H39" s="115"/>
      <c r="I39" s="115"/>
    </row>
    <row r="40" spans="1:8" ht="15.75" customHeight="1">
      <c r="A40" s="256" t="s">
        <v>230</v>
      </c>
      <c r="B40" s="256"/>
      <c r="C40" s="256"/>
      <c r="D40" s="256"/>
      <c r="E40" s="33" t="s">
        <v>231</v>
      </c>
      <c r="F40" s="33"/>
      <c r="G40" s="33"/>
      <c r="H40" s="33"/>
    </row>
    <row r="41" ht="15.75">
      <c r="I41" s="33" t="s">
        <v>206</v>
      </c>
    </row>
    <row r="42" spans="1:5" ht="15.75" customHeight="1">
      <c r="A42" s="256" t="s">
        <v>232</v>
      </c>
      <c r="B42" s="256"/>
      <c r="C42" s="256"/>
      <c r="D42" s="256"/>
      <c r="E42" t="s">
        <v>233</v>
      </c>
    </row>
  </sheetData>
  <mergeCells count="32">
    <mergeCell ref="B11:D11"/>
    <mergeCell ref="B13:F13"/>
    <mergeCell ref="B14:F14"/>
    <mergeCell ref="B12:D12"/>
    <mergeCell ref="B15:F15"/>
    <mergeCell ref="B16:F16"/>
    <mergeCell ref="B18:D18"/>
    <mergeCell ref="B19:D19"/>
    <mergeCell ref="B20:D20"/>
    <mergeCell ref="B21:D21"/>
    <mergeCell ref="B22:D22"/>
    <mergeCell ref="B23:D23"/>
    <mergeCell ref="C1:H1"/>
    <mergeCell ref="A3:H3"/>
    <mergeCell ref="B36:F36"/>
    <mergeCell ref="B37:D37"/>
    <mergeCell ref="B32:D32"/>
    <mergeCell ref="B33:D33"/>
    <mergeCell ref="B34:D34"/>
    <mergeCell ref="B28:D28"/>
    <mergeCell ref="B29:D29"/>
    <mergeCell ref="B30:D30"/>
    <mergeCell ref="A40:D40"/>
    <mergeCell ref="A42:D42"/>
    <mergeCell ref="B35:D35"/>
    <mergeCell ref="A5:E5"/>
    <mergeCell ref="B38:E38"/>
    <mergeCell ref="B31:D31"/>
    <mergeCell ref="B24:D24"/>
    <mergeCell ref="B25:D25"/>
    <mergeCell ref="B26:D26"/>
    <mergeCell ref="B27:D2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B4" sqref="B4"/>
    </sheetView>
  </sheetViews>
  <sheetFormatPr defaultColWidth="9.00390625" defaultRowHeight="15.75"/>
  <cols>
    <col min="1" max="1" width="7.875" style="0" customWidth="1"/>
    <col min="2" max="2" width="25.125" style="0" customWidth="1"/>
    <col min="3" max="3" width="3.75390625" style="0" customWidth="1"/>
    <col min="4" max="4" width="24.875" style="0" customWidth="1"/>
    <col min="5" max="5" width="16.25390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2.00390625" style="0" customWidth="1"/>
    <col min="12" max="13" width="0" style="0" hidden="1" customWidth="1"/>
  </cols>
  <sheetData>
    <row r="1" spans="1:11" ht="110.25" customHeight="1">
      <c r="A1" s="197" t="s">
        <v>235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60.75" customHeight="1">
      <c r="A2" s="213" t="s">
        <v>236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9" ht="31.5">
      <c r="A3" s="1" t="s">
        <v>139</v>
      </c>
      <c r="B3" s="1" t="s">
        <v>84</v>
      </c>
      <c r="C3" s="2"/>
      <c r="D3" s="146" t="s">
        <v>237</v>
      </c>
      <c r="E3" s="26">
        <v>3573.4</v>
      </c>
      <c r="F3" s="2"/>
      <c r="H3" s="85"/>
      <c r="I3" s="85"/>
    </row>
    <row r="4" spans="2:6" ht="15.75">
      <c r="B4" s="3" t="s">
        <v>1</v>
      </c>
      <c r="C4" s="44">
        <v>5</v>
      </c>
      <c r="D4" s="2" t="s">
        <v>2</v>
      </c>
      <c r="E4" s="27" t="s">
        <v>238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39" customHeight="1">
      <c r="A7" s="21" t="s">
        <v>55</v>
      </c>
      <c r="B7" s="189" t="s">
        <v>142</v>
      </c>
      <c r="C7" s="190"/>
      <c r="D7" s="186"/>
      <c r="E7" s="11" t="s">
        <v>6</v>
      </c>
      <c r="F7" s="11" t="s">
        <v>7</v>
      </c>
      <c r="G7" s="86" t="s">
        <v>239</v>
      </c>
      <c r="H7" s="147" t="s">
        <v>240</v>
      </c>
      <c r="I7" s="220" t="s">
        <v>241</v>
      </c>
      <c r="J7" s="221"/>
      <c r="K7" s="222"/>
      <c r="L7" s="55">
        <v>12</v>
      </c>
      <c r="M7" s="148" t="s">
        <v>242</v>
      </c>
    </row>
    <row r="8" spans="1:11" ht="15.75">
      <c r="A8" s="22">
        <v>1</v>
      </c>
      <c r="B8" s="194"/>
      <c r="C8" s="195"/>
      <c r="D8" s="195"/>
      <c r="E8" s="195"/>
      <c r="F8" s="187"/>
      <c r="G8" s="149"/>
      <c r="H8" s="149"/>
      <c r="I8" s="150" t="s">
        <v>144</v>
      </c>
      <c r="J8" s="89" t="s">
        <v>145</v>
      </c>
      <c r="K8" s="89" t="s">
        <v>146</v>
      </c>
    </row>
    <row r="9" spans="1:11" ht="15.75">
      <c r="A9" s="22"/>
      <c r="B9" s="194" t="s">
        <v>147</v>
      </c>
      <c r="C9" s="195"/>
      <c r="D9" s="195"/>
      <c r="E9" s="195"/>
      <c r="F9" s="187"/>
      <c r="G9" s="56"/>
      <c r="H9" s="56"/>
      <c r="I9" s="56"/>
      <c r="J9" s="56"/>
      <c r="K9" s="89"/>
    </row>
    <row r="10" spans="1:11" ht="15.75" customHeight="1">
      <c r="A10" s="91"/>
      <c r="B10" s="191" t="s">
        <v>148</v>
      </c>
      <c r="C10" s="191"/>
      <c r="D10" s="191"/>
      <c r="E10" s="191"/>
      <c r="F10" s="191"/>
      <c r="G10" s="15"/>
      <c r="H10" s="15"/>
      <c r="I10" s="151">
        <v>444008.84</v>
      </c>
      <c r="J10" s="79"/>
      <c r="K10" s="92">
        <f>I10+J10</f>
        <v>444008.84</v>
      </c>
    </row>
    <row r="11" spans="1:11" ht="15.75" customHeight="1">
      <c r="A11" s="91"/>
      <c r="B11" s="191" t="s">
        <v>149</v>
      </c>
      <c r="C11" s="191"/>
      <c r="D11" s="191"/>
      <c r="E11" s="191"/>
      <c r="F11" s="191"/>
      <c r="G11" s="15"/>
      <c r="H11" s="15"/>
      <c r="I11" s="16">
        <v>29483.01</v>
      </c>
      <c r="J11" s="79"/>
      <c r="K11" s="92">
        <f>I11+J11</f>
        <v>29483.01</v>
      </c>
    </row>
    <row r="12" spans="1:11" ht="15.75" customHeight="1">
      <c r="A12" s="22"/>
      <c r="B12" s="191" t="s">
        <v>150</v>
      </c>
      <c r="C12" s="191"/>
      <c r="D12" s="191"/>
      <c r="E12" s="191"/>
      <c r="F12" s="191"/>
      <c r="G12" s="15"/>
      <c r="H12" s="15"/>
      <c r="I12" s="151"/>
      <c r="J12" s="152">
        <v>5982.8</v>
      </c>
      <c r="K12" s="92">
        <f>I12+J12</f>
        <v>5982.8</v>
      </c>
    </row>
    <row r="13" spans="1:11" ht="15.75">
      <c r="A13" s="22"/>
      <c r="B13" s="191" t="s">
        <v>151</v>
      </c>
      <c r="C13" s="191"/>
      <c r="D13" s="191"/>
      <c r="E13" s="191"/>
      <c r="F13" s="191"/>
      <c r="G13" s="15"/>
      <c r="H13" s="15"/>
      <c r="I13" s="151">
        <v>0</v>
      </c>
      <c r="J13" s="152">
        <v>0</v>
      </c>
      <c r="K13" s="92">
        <f>I13+J13</f>
        <v>0</v>
      </c>
    </row>
    <row r="14" spans="1:11" ht="15.75" customHeight="1">
      <c r="A14" s="22"/>
      <c r="B14" s="209" t="s">
        <v>152</v>
      </c>
      <c r="C14" s="209"/>
      <c r="D14" s="209"/>
      <c r="E14" s="209"/>
      <c r="F14" s="209"/>
      <c r="G14" s="15"/>
      <c r="H14" s="15"/>
      <c r="I14" s="36">
        <f>SUM(I10:I12)</f>
        <v>473491.85000000003</v>
      </c>
      <c r="J14" s="153">
        <f>SUM(J10:J12)</f>
        <v>5982.8</v>
      </c>
      <c r="K14" s="36">
        <f>SUM(K10:K13)</f>
        <v>479474.65</v>
      </c>
    </row>
    <row r="15" spans="1:11" ht="18.75" customHeight="1">
      <c r="A15" s="22">
        <v>2</v>
      </c>
      <c r="B15" s="262" t="s">
        <v>68</v>
      </c>
      <c r="C15" s="262"/>
      <c r="D15" s="262"/>
      <c r="E15" s="262"/>
      <c r="F15" s="262"/>
      <c r="G15" s="15"/>
      <c r="H15" s="15"/>
      <c r="I15" s="151"/>
      <c r="J15" s="79"/>
      <c r="K15" s="34"/>
    </row>
    <row r="16" spans="1:11" ht="15.75">
      <c r="A16" s="22" t="s">
        <v>136</v>
      </c>
      <c r="B16" s="154" t="s">
        <v>69</v>
      </c>
      <c r="C16" s="154"/>
      <c r="D16" s="154"/>
      <c r="E16" s="154"/>
      <c r="F16" s="155"/>
      <c r="G16" s="150"/>
      <c r="H16" s="150"/>
      <c r="I16" s="150"/>
      <c r="J16" s="137"/>
      <c r="K16" s="89"/>
    </row>
    <row r="17" spans="1:11" ht="33.75" customHeight="1">
      <c r="A17" s="93"/>
      <c r="B17" s="223" t="s">
        <v>243</v>
      </c>
      <c r="C17" s="223"/>
      <c r="D17" s="223"/>
      <c r="E17" s="156" t="s">
        <v>32</v>
      </c>
      <c r="F17" s="81" t="s">
        <v>24</v>
      </c>
      <c r="G17" s="47">
        <v>1.06</v>
      </c>
      <c r="H17" s="47">
        <v>1.12</v>
      </c>
      <c r="I17" s="48">
        <f>ROUND($E$3*G17*6,2)+ROUND($E$3*H17*($L$7-6),2)</f>
        <v>46740.07</v>
      </c>
      <c r="J17" s="157"/>
      <c r="K17" s="158">
        <f>SUM(I17:J17)</f>
        <v>46740.07</v>
      </c>
    </row>
    <row r="18" spans="1:11" ht="17.25" customHeight="1">
      <c r="A18" s="22"/>
      <c r="B18" s="224" t="s">
        <v>17</v>
      </c>
      <c r="C18" s="224"/>
      <c r="D18" s="224"/>
      <c r="E18" s="156" t="s">
        <v>32</v>
      </c>
      <c r="F18" s="81" t="s">
        <v>19</v>
      </c>
      <c r="G18" s="47">
        <v>0.28</v>
      </c>
      <c r="H18" s="47">
        <v>0.3</v>
      </c>
      <c r="I18" s="48">
        <f>ROUND($E$3*G18*6,2)+ROUND($E$3*H18*($L$7-6),2)</f>
        <v>12435.43</v>
      </c>
      <c r="J18" s="157"/>
      <c r="K18" s="158">
        <f>SUM(I18:J18)</f>
        <v>12435.43</v>
      </c>
    </row>
    <row r="19" spans="1:11" ht="20.25" customHeight="1">
      <c r="A19" s="22"/>
      <c r="B19" s="225" t="s">
        <v>23</v>
      </c>
      <c r="C19" s="225"/>
      <c r="D19" s="225"/>
      <c r="E19" s="159" t="s">
        <v>153</v>
      </c>
      <c r="F19" s="46" t="s">
        <v>20</v>
      </c>
      <c r="G19" s="47">
        <v>0.39</v>
      </c>
      <c r="H19" s="47">
        <v>0.41</v>
      </c>
      <c r="I19" s="48">
        <f>K19-J19</f>
        <v>8816.51</v>
      </c>
      <c r="J19" s="157"/>
      <c r="K19" s="160">
        <v>8816.51</v>
      </c>
    </row>
    <row r="20" spans="1:11" ht="20.25" customHeight="1">
      <c r="A20" s="93"/>
      <c r="B20" s="223" t="s">
        <v>31</v>
      </c>
      <c r="C20" s="223"/>
      <c r="D20" s="223"/>
      <c r="E20" s="161" t="s">
        <v>9</v>
      </c>
      <c r="F20" s="82" t="s">
        <v>10</v>
      </c>
      <c r="G20" s="47">
        <v>0.51</v>
      </c>
      <c r="H20" s="47">
        <v>0.54</v>
      </c>
      <c r="I20" s="48">
        <f>ROUND($E$3*G20*6,2)+ROUND($E$3*H20*($L$7-6),2)</f>
        <v>22512.42</v>
      </c>
      <c r="J20" s="157"/>
      <c r="K20" s="158">
        <f>SUM(I20:J20)</f>
        <v>22512.42</v>
      </c>
    </row>
    <row r="21" spans="1:11" ht="65.25" customHeight="1">
      <c r="A21" s="22"/>
      <c r="B21" s="225" t="s">
        <v>27</v>
      </c>
      <c r="C21" s="225"/>
      <c r="D21" s="225"/>
      <c r="E21" s="159" t="s">
        <v>154</v>
      </c>
      <c r="F21" s="46" t="s">
        <v>25</v>
      </c>
      <c r="G21" s="47">
        <v>0.12</v>
      </c>
      <c r="H21" s="47">
        <v>0.13</v>
      </c>
      <c r="I21" s="48">
        <f>K21-J21</f>
        <v>5787.48</v>
      </c>
      <c r="J21" s="157"/>
      <c r="K21" s="160">
        <v>5787.48</v>
      </c>
    </row>
    <row r="22" spans="1:11" ht="20.25" customHeight="1">
      <c r="A22" s="93"/>
      <c r="B22" s="225" t="s">
        <v>11</v>
      </c>
      <c r="C22" s="225"/>
      <c r="D22" s="225"/>
      <c r="E22" s="159" t="s">
        <v>9</v>
      </c>
      <c r="F22" s="46" t="s">
        <v>12</v>
      </c>
      <c r="G22" s="47">
        <v>0</v>
      </c>
      <c r="H22" s="162">
        <v>0</v>
      </c>
      <c r="I22" s="48">
        <f>ROUND($E$3*G22*6,2)+ROUND($E$3*H22*($L$7-6),2)</f>
        <v>0</v>
      </c>
      <c r="J22" s="157"/>
      <c r="K22" s="158">
        <f>SUM(I22:J22)</f>
        <v>0</v>
      </c>
    </row>
    <row r="23" spans="1:11" ht="20.25" customHeight="1">
      <c r="A23" s="93"/>
      <c r="B23" s="225" t="s">
        <v>26</v>
      </c>
      <c r="C23" s="226"/>
      <c r="D23" s="226"/>
      <c r="E23" s="163" t="s">
        <v>13</v>
      </c>
      <c r="F23" s="45" t="s">
        <v>14</v>
      </c>
      <c r="G23" s="47">
        <v>0.05</v>
      </c>
      <c r="H23" s="47">
        <v>0.05</v>
      </c>
      <c r="I23" s="48">
        <f>K23-J23</f>
        <v>9036.48</v>
      </c>
      <c r="J23" s="157"/>
      <c r="K23" s="160">
        <v>9036.48</v>
      </c>
    </row>
    <row r="24" spans="1:11" ht="54" customHeight="1">
      <c r="A24" s="22"/>
      <c r="B24" s="225" t="s">
        <v>155</v>
      </c>
      <c r="C24" s="225"/>
      <c r="D24" s="225"/>
      <c r="E24" s="94" t="s">
        <v>244</v>
      </c>
      <c r="F24" s="98" t="s">
        <v>245</v>
      </c>
      <c r="G24" s="47">
        <v>2.15</v>
      </c>
      <c r="H24" s="47">
        <v>2.28</v>
      </c>
      <c r="I24" s="48">
        <f aca="true" t="shared" si="0" ref="I24:I29">ROUND($E$3*G24*6,2)+ROUND($E$3*H24*($L$7-6),2)</f>
        <v>94980.97</v>
      </c>
      <c r="J24" s="157"/>
      <c r="K24" s="158">
        <f>SUM(I24:J24)</f>
        <v>94980.97</v>
      </c>
    </row>
    <row r="25" spans="1:11" ht="26.25" customHeight="1">
      <c r="A25" s="22"/>
      <c r="B25" s="224" t="s">
        <v>15</v>
      </c>
      <c r="C25" s="224"/>
      <c r="D25" s="224"/>
      <c r="E25" s="156" t="s">
        <v>36</v>
      </c>
      <c r="F25" s="98" t="s">
        <v>245</v>
      </c>
      <c r="G25" s="47">
        <v>0.44</v>
      </c>
      <c r="H25" s="47">
        <v>0.47</v>
      </c>
      <c r="I25" s="48">
        <f>K25-J25</f>
        <v>18671.04</v>
      </c>
      <c r="J25" s="157"/>
      <c r="K25" s="158">
        <v>18671.04</v>
      </c>
    </row>
    <row r="26" spans="1:11" ht="30" customHeight="1">
      <c r="A26" s="22"/>
      <c r="B26" s="202" t="s">
        <v>37</v>
      </c>
      <c r="C26" s="231"/>
      <c r="D26" s="232"/>
      <c r="E26" s="156" t="s">
        <v>36</v>
      </c>
      <c r="F26" s="98" t="s">
        <v>245</v>
      </c>
      <c r="G26" s="99">
        <f>3.46-G27-G28</f>
        <v>3.46</v>
      </c>
      <c r="H26" s="47">
        <f>3.67-H27-H28</f>
        <v>3.67</v>
      </c>
      <c r="I26" s="48">
        <f t="shared" si="0"/>
        <v>152870.05</v>
      </c>
      <c r="J26" s="164"/>
      <c r="K26" s="158">
        <f>SUM(I26:J26)</f>
        <v>152870.05</v>
      </c>
    </row>
    <row r="27" spans="1:11" ht="26.25" customHeight="1">
      <c r="A27" s="93"/>
      <c r="B27" s="225" t="s">
        <v>157</v>
      </c>
      <c r="C27" s="225"/>
      <c r="D27" s="225"/>
      <c r="E27" s="159" t="s">
        <v>9</v>
      </c>
      <c r="F27" s="98" t="s">
        <v>245</v>
      </c>
      <c r="G27" s="99">
        <v>0</v>
      </c>
      <c r="H27" s="47">
        <v>0</v>
      </c>
      <c r="I27" s="48">
        <f t="shared" si="0"/>
        <v>0</v>
      </c>
      <c r="J27" s="164"/>
      <c r="K27" s="158">
        <f>SUM(I27:J27)</f>
        <v>0</v>
      </c>
    </row>
    <row r="28" spans="1:11" ht="17.25" customHeight="1">
      <c r="A28" s="22"/>
      <c r="B28" s="225" t="s">
        <v>158</v>
      </c>
      <c r="C28" s="225"/>
      <c r="D28" s="225"/>
      <c r="E28" s="159" t="s">
        <v>9</v>
      </c>
      <c r="F28" s="98" t="s">
        <v>245</v>
      </c>
      <c r="G28" s="99">
        <v>0</v>
      </c>
      <c r="H28" s="162">
        <v>0</v>
      </c>
      <c r="I28" s="48">
        <f t="shared" si="0"/>
        <v>0</v>
      </c>
      <c r="J28" s="164"/>
      <c r="K28" s="158">
        <f>SUM(I28:J28)</f>
        <v>0</v>
      </c>
    </row>
    <row r="29" spans="1:11" ht="30.75" customHeight="1">
      <c r="A29" s="22"/>
      <c r="B29" s="226" t="s">
        <v>21</v>
      </c>
      <c r="C29" s="226"/>
      <c r="D29" s="226"/>
      <c r="E29" s="95" t="s">
        <v>36</v>
      </c>
      <c r="F29" s="98" t="s">
        <v>245</v>
      </c>
      <c r="G29" s="45">
        <v>1.06</v>
      </c>
      <c r="H29" s="47">
        <v>1.12</v>
      </c>
      <c r="I29" s="48">
        <f t="shared" si="0"/>
        <v>46740.07</v>
      </c>
      <c r="J29" s="157"/>
      <c r="K29" s="158">
        <f>SUM(I29:J29)</f>
        <v>46740.07</v>
      </c>
    </row>
    <row r="30" spans="1:11" ht="15.75">
      <c r="A30" s="22"/>
      <c r="B30" s="233"/>
      <c r="C30" s="228"/>
      <c r="D30" s="229"/>
      <c r="E30" s="159"/>
      <c r="F30" s="98"/>
      <c r="G30" s="45"/>
      <c r="H30" s="45"/>
      <c r="I30" s="165"/>
      <c r="J30" s="152"/>
      <c r="K30" s="166"/>
    </row>
    <row r="31" spans="1:11" ht="15.75">
      <c r="A31" s="22"/>
      <c r="B31" s="263" t="s">
        <v>30</v>
      </c>
      <c r="C31" s="263"/>
      <c r="D31" s="263"/>
      <c r="E31" s="22"/>
      <c r="F31" s="98"/>
      <c r="G31" s="23">
        <f>SUM(G17:G29)</f>
        <v>9.520000000000001</v>
      </c>
      <c r="H31" s="23">
        <f>SUM(H17:H29)</f>
        <v>10.09</v>
      </c>
      <c r="I31" s="167">
        <f>SUM(I17:I30)</f>
        <v>418590.51999999996</v>
      </c>
      <c r="J31" s="153"/>
      <c r="K31" s="167">
        <f>SUM(K17:K30)</f>
        <v>418590.51999999996</v>
      </c>
    </row>
    <row r="32" spans="1:11" ht="15.75" hidden="1">
      <c r="A32" s="22"/>
      <c r="B32" s="230" t="s">
        <v>159</v>
      </c>
      <c r="C32" s="231"/>
      <c r="D32" s="232"/>
      <c r="E32" s="159" t="s">
        <v>9</v>
      </c>
      <c r="F32" s="98"/>
      <c r="G32" s="45"/>
      <c r="H32" s="45"/>
      <c r="I32" s="165"/>
      <c r="J32" s="152"/>
      <c r="K32" s="166"/>
    </row>
    <row r="33" spans="1:11" ht="21.75" customHeight="1" hidden="1">
      <c r="A33" s="22"/>
      <c r="B33" s="230" t="s">
        <v>160</v>
      </c>
      <c r="C33" s="231"/>
      <c r="D33" s="232"/>
      <c r="E33" s="156" t="s">
        <v>36</v>
      </c>
      <c r="F33" s="98"/>
      <c r="G33" s="45"/>
      <c r="H33" s="45"/>
      <c r="I33" s="165"/>
      <c r="J33" s="152"/>
      <c r="K33" s="166"/>
    </row>
    <row r="34" spans="1:11" ht="27.75" customHeight="1" hidden="1">
      <c r="A34" s="22"/>
      <c r="B34" s="233"/>
      <c r="C34" s="228"/>
      <c r="D34" s="229"/>
      <c r="E34" s="159"/>
      <c r="F34" s="98"/>
      <c r="G34" s="45"/>
      <c r="H34" s="45"/>
      <c r="I34" s="165"/>
      <c r="J34" s="152"/>
      <c r="K34" s="166"/>
    </row>
    <row r="35" spans="1:11" ht="26.25" customHeight="1">
      <c r="A35" s="22" t="s">
        <v>137</v>
      </c>
      <c r="B35" s="234" t="s">
        <v>161</v>
      </c>
      <c r="C35" s="235"/>
      <c r="D35" s="235"/>
      <c r="E35" s="236"/>
      <c r="F35" s="98" t="s">
        <v>245</v>
      </c>
      <c r="G35" s="23">
        <f>I35/E3/6</f>
        <v>8.473349377810115</v>
      </c>
      <c r="H35" s="23">
        <f>I35/E3/6</f>
        <v>8.473349377810115</v>
      </c>
      <c r="I35" s="168">
        <v>181672</v>
      </c>
      <c r="J35" s="169"/>
      <c r="K35" s="170">
        <f>SUM(I35:J35)</f>
        <v>181672</v>
      </c>
    </row>
    <row r="36" spans="1:11" ht="15" customHeight="1">
      <c r="A36" s="25"/>
      <c r="B36" s="238" t="s">
        <v>70</v>
      </c>
      <c r="C36" s="238"/>
      <c r="D36" s="238"/>
      <c r="E36" s="238"/>
      <c r="F36" s="238"/>
      <c r="G36" s="23">
        <f>SUM(G31:G35)</f>
        <v>17.993349377810116</v>
      </c>
      <c r="H36" s="23">
        <f>SUM(H31:H35)</f>
        <v>18.563349377810113</v>
      </c>
      <c r="I36" s="171">
        <f>SUM(I31:I35)</f>
        <v>600262.52</v>
      </c>
      <c r="J36" s="172"/>
      <c r="K36" s="172">
        <f>SUM(K31:K35)</f>
        <v>600262.52</v>
      </c>
    </row>
    <row r="37" spans="1:11" ht="14.25" customHeight="1">
      <c r="A37" s="22" t="s">
        <v>138</v>
      </c>
      <c r="B37" s="238" t="s">
        <v>162</v>
      </c>
      <c r="C37" s="238"/>
      <c r="D37" s="238"/>
      <c r="E37" s="238"/>
      <c r="F37" s="238"/>
      <c r="G37" s="23"/>
      <c r="H37" s="23"/>
      <c r="I37" s="173">
        <v>0</v>
      </c>
      <c r="J37" s="173"/>
      <c r="K37" s="170">
        <f>SUM(I37:J37)</f>
        <v>0</v>
      </c>
    </row>
    <row r="38" spans="1:11" ht="18.75">
      <c r="A38" s="25"/>
      <c r="B38" s="238" t="s">
        <v>163</v>
      </c>
      <c r="C38" s="238"/>
      <c r="D38" s="238"/>
      <c r="E38" s="238"/>
      <c r="F38" s="238"/>
      <c r="G38" s="23">
        <f>SUM(G36:G37)</f>
        <v>17.993349377810116</v>
      </c>
      <c r="H38" s="23">
        <f>SUM(H36:H37)</f>
        <v>18.563349377810113</v>
      </c>
      <c r="I38" s="171">
        <f>SUM(I36:I37)</f>
        <v>600262.52</v>
      </c>
      <c r="J38" s="172"/>
      <c r="K38" s="172">
        <f>SUM(K36:K37)</f>
        <v>600262.52</v>
      </c>
    </row>
    <row r="39" spans="1:11" ht="24.75" customHeight="1">
      <c r="A39" s="22">
        <v>3</v>
      </c>
      <c r="B39" s="264" t="s">
        <v>246</v>
      </c>
      <c r="C39" s="264"/>
      <c r="D39" s="264"/>
      <c r="E39" s="264"/>
      <c r="F39" s="174"/>
      <c r="G39" s="174"/>
      <c r="H39" s="175"/>
      <c r="I39" s="48">
        <f>I14-I38</f>
        <v>-126770.66999999998</v>
      </c>
      <c r="J39" s="48"/>
      <c r="K39" s="153">
        <f>K14-K38</f>
        <v>-120787.87</v>
      </c>
    </row>
    <row r="40" spans="2:11" ht="27" customHeight="1">
      <c r="B40" s="111"/>
      <c r="C40" s="176"/>
      <c r="D40" s="176"/>
      <c r="E40" s="176"/>
      <c r="F40" s="176"/>
      <c r="G40" s="176"/>
      <c r="H40" s="176"/>
      <c r="I40" s="177"/>
      <c r="J40" s="178"/>
      <c r="K40" s="179"/>
    </row>
    <row r="41" spans="3:7" ht="15.75">
      <c r="C41" s="33"/>
      <c r="G41" s="33"/>
    </row>
    <row r="42" spans="1:7" ht="15.75" customHeight="1">
      <c r="A42" s="74" t="s">
        <v>247</v>
      </c>
      <c r="D42" s="74"/>
      <c r="E42" s="74"/>
      <c r="F42" s="33"/>
      <c r="G42" s="33"/>
    </row>
    <row r="43" spans="2:4" ht="15.75">
      <c r="B43" s="33"/>
      <c r="C43" s="33"/>
      <c r="D43" s="33"/>
    </row>
    <row r="44" spans="2:4" ht="15.75">
      <c r="B44" s="43" t="s">
        <v>72</v>
      </c>
      <c r="C44" s="43"/>
      <c r="D44" s="43"/>
    </row>
    <row r="45" spans="2:9" ht="15.75">
      <c r="B45" s="205" t="s">
        <v>218</v>
      </c>
      <c r="C45" s="205"/>
      <c r="D45" s="205"/>
      <c r="E45" s="205"/>
      <c r="F45" s="205"/>
      <c r="G45" s="205"/>
      <c r="H45" s="205"/>
      <c r="I45" s="33"/>
    </row>
    <row r="46" spans="2:4" ht="15.75" customHeight="1">
      <c r="B46" s="196" t="s">
        <v>75</v>
      </c>
      <c r="C46" s="196"/>
      <c r="D46" s="196"/>
    </row>
  </sheetData>
  <mergeCells count="37"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30:D30"/>
    <mergeCell ref="B31:D31"/>
    <mergeCell ref="B32:D32"/>
    <mergeCell ref="B45:H45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workbookViewId="0" topLeftCell="D4">
      <selection activeCell="D13" sqref="D13:Y23"/>
    </sheetView>
  </sheetViews>
  <sheetFormatPr defaultColWidth="9.00390625" defaultRowHeight="15.75"/>
  <cols>
    <col min="1" max="1" width="11.625" style="0" customWidth="1"/>
    <col min="2" max="2" width="6.125" style="0" customWidth="1"/>
    <col min="3" max="5" width="13.75390625" style="0" customWidth="1"/>
    <col min="6" max="6" width="12.125" style="0" customWidth="1"/>
    <col min="7" max="7" width="10.375" style="0" customWidth="1"/>
    <col min="8" max="8" width="12.50390625" style="0" customWidth="1"/>
    <col min="9" max="9" width="11.625" style="0" customWidth="1"/>
    <col min="10" max="10" width="8.875" style="0" bestFit="1" customWidth="1"/>
    <col min="11" max="11" width="9.125" style="0" customWidth="1"/>
    <col min="12" max="12" width="11.875" style="0" customWidth="1"/>
    <col min="13" max="18" width="13.50390625" style="0" customWidth="1"/>
    <col min="19" max="19" width="11.875" style="0" customWidth="1"/>
  </cols>
  <sheetData>
    <row r="1" spans="1:19" ht="109.5" customHeight="1">
      <c r="A1" s="265" t="s">
        <v>210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ht="15.75" customHeight="1">
      <c r="A2" s="247" t="s">
        <v>166</v>
      </c>
      <c r="B2" s="263" t="s">
        <v>167</v>
      </c>
      <c r="C2" s="263" t="s">
        <v>168</v>
      </c>
      <c r="D2" s="263"/>
      <c r="E2" s="263"/>
      <c r="F2" s="263"/>
      <c r="G2" s="263"/>
      <c r="H2" s="263"/>
      <c r="I2" s="263"/>
      <c r="J2" s="266" t="s">
        <v>169</v>
      </c>
      <c r="K2" s="266"/>
      <c r="L2" s="266"/>
      <c r="M2" s="267" t="s">
        <v>170</v>
      </c>
      <c r="N2" s="263" t="s">
        <v>171</v>
      </c>
      <c r="O2" s="263"/>
      <c r="P2" s="263"/>
      <c r="Q2" s="263"/>
      <c r="R2" s="263"/>
      <c r="S2" s="187" t="s">
        <v>213</v>
      </c>
    </row>
    <row r="3" spans="1:19" ht="15.75" customHeight="1">
      <c r="A3" s="263"/>
      <c r="B3" s="263"/>
      <c r="C3" s="189" t="s">
        <v>172</v>
      </c>
      <c r="D3" s="190"/>
      <c r="E3" s="186"/>
      <c r="F3" s="189" t="s">
        <v>173</v>
      </c>
      <c r="G3" s="190"/>
      <c r="H3" s="186"/>
      <c r="I3" s="247" t="s">
        <v>174</v>
      </c>
      <c r="J3" s="270" t="s">
        <v>175</v>
      </c>
      <c r="K3" s="272" t="s">
        <v>176</v>
      </c>
      <c r="L3" s="270" t="s">
        <v>177</v>
      </c>
      <c r="M3" s="268"/>
      <c r="N3" s="247" t="s">
        <v>178</v>
      </c>
      <c r="O3" s="263" t="s">
        <v>179</v>
      </c>
      <c r="P3" s="263" t="s">
        <v>180</v>
      </c>
      <c r="Q3" s="263" t="s">
        <v>181</v>
      </c>
      <c r="R3" s="263" t="s">
        <v>182</v>
      </c>
      <c r="S3" s="187"/>
    </row>
    <row r="4" spans="1:19" ht="47.25" customHeight="1">
      <c r="A4" s="263"/>
      <c r="B4" s="263"/>
      <c r="C4" s="11" t="s">
        <v>183</v>
      </c>
      <c r="D4" s="22" t="s">
        <v>181</v>
      </c>
      <c r="E4" s="22" t="s">
        <v>182</v>
      </c>
      <c r="F4" s="11" t="s">
        <v>183</v>
      </c>
      <c r="G4" s="22" t="s">
        <v>181</v>
      </c>
      <c r="H4" s="22" t="s">
        <v>182</v>
      </c>
      <c r="I4" s="247"/>
      <c r="J4" s="271"/>
      <c r="K4" s="273"/>
      <c r="L4" s="271"/>
      <c r="M4" s="269"/>
      <c r="N4" s="263"/>
      <c r="O4" s="263"/>
      <c r="P4" s="263"/>
      <c r="Q4" s="263"/>
      <c r="R4" s="263"/>
      <c r="S4" s="187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184</v>
      </c>
      <c r="F5" s="11">
        <v>6</v>
      </c>
      <c r="G5" s="22">
        <v>7</v>
      </c>
      <c r="H5" s="22" t="s">
        <v>185</v>
      </c>
      <c r="I5" s="11" t="s">
        <v>186</v>
      </c>
      <c r="J5" s="22">
        <v>10</v>
      </c>
      <c r="K5" s="22">
        <v>11</v>
      </c>
      <c r="L5" s="11">
        <v>12</v>
      </c>
      <c r="M5" s="11" t="s">
        <v>187</v>
      </c>
      <c r="N5" s="22">
        <v>14</v>
      </c>
      <c r="O5" s="11">
        <v>15</v>
      </c>
      <c r="P5" s="22">
        <v>16</v>
      </c>
      <c r="Q5" s="22">
        <v>17</v>
      </c>
      <c r="R5" s="11" t="s">
        <v>188</v>
      </c>
      <c r="S5" s="100" t="s">
        <v>189</v>
      </c>
    </row>
    <row r="6" spans="1:19" ht="15.75">
      <c r="A6" s="92"/>
      <c r="B6" s="55" t="s">
        <v>190</v>
      </c>
      <c r="C6" s="117">
        <f>'2008'!D9</f>
        <v>258331.4</v>
      </c>
      <c r="D6" s="117">
        <f>'2008'!D13</f>
        <v>18991.44</v>
      </c>
      <c r="E6" s="117">
        <f>SUM(C6:D6)</f>
        <v>277322.83999999997</v>
      </c>
      <c r="F6" s="117">
        <f>'2008'!D10</f>
        <v>238758.7</v>
      </c>
      <c r="G6" s="117">
        <f>'2008'!D14</f>
        <v>18335.85</v>
      </c>
      <c r="H6" s="117">
        <f>SUM(F6:G6)</f>
        <v>257094.55000000002</v>
      </c>
      <c r="I6" s="134">
        <f>E6-H6</f>
        <v>20228.28999999995</v>
      </c>
      <c r="J6" s="117">
        <v>0</v>
      </c>
      <c r="K6" s="117">
        <v>0</v>
      </c>
      <c r="L6" s="117">
        <v>0</v>
      </c>
      <c r="M6" s="117">
        <f>H6+J6+K6+L6</f>
        <v>257094.55000000002</v>
      </c>
      <c r="N6" s="117">
        <f>'2008'!D23</f>
        <v>28416.453999999998</v>
      </c>
      <c r="O6" s="117">
        <f>'2008'!D24</f>
        <v>180831.97999999998</v>
      </c>
      <c r="P6" s="117">
        <f>'2008'!D25</f>
        <v>113800</v>
      </c>
      <c r="Q6" s="181">
        <v>0</v>
      </c>
      <c r="R6" s="92">
        <f>SUM(N6:Q6)</f>
        <v>323048.434</v>
      </c>
      <c r="S6" s="92">
        <f>M6-R6</f>
        <v>-65953.88399999999</v>
      </c>
    </row>
    <row r="7" spans="1:19" ht="15.75">
      <c r="A7" s="92">
        <f>S6</f>
        <v>-65953.88399999999</v>
      </c>
      <c r="B7" s="55" t="s">
        <v>191</v>
      </c>
      <c r="C7" s="117">
        <f>'отчет 2009'!H10</f>
        <v>372473.05</v>
      </c>
      <c r="D7" s="117">
        <v>26052.77</v>
      </c>
      <c r="E7" s="117">
        <f>SUM(C7:D7)</f>
        <v>398525.82</v>
      </c>
      <c r="F7" s="117">
        <f>'отчет 2009'!H13</f>
        <v>353796.09</v>
      </c>
      <c r="G7" s="117">
        <v>25743.87</v>
      </c>
      <c r="H7" s="117">
        <f>SUM(F7:G7)</f>
        <v>379539.96</v>
      </c>
      <c r="I7" s="134">
        <f>E7-H7</f>
        <v>18985.859999999986</v>
      </c>
      <c r="J7" s="117">
        <v>0</v>
      </c>
      <c r="K7" s="117">
        <v>0</v>
      </c>
      <c r="L7" s="117">
        <v>0</v>
      </c>
      <c r="M7" s="117">
        <f>H7+J7+K7+L7</f>
        <v>379539.96</v>
      </c>
      <c r="N7" s="117">
        <f>'отчет 2009'!H31</f>
        <v>37735.1</v>
      </c>
      <c r="O7" s="117">
        <f>'отчет 2009'!H32-'отчет 2009'!H31</f>
        <v>300594.42000000004</v>
      </c>
      <c r="P7" s="117">
        <f>'отчет 2009'!H33</f>
        <v>168900</v>
      </c>
      <c r="Q7" s="181">
        <v>0</v>
      </c>
      <c r="R7" s="92">
        <f>SUM(N7:Q7)</f>
        <v>507229.52</v>
      </c>
      <c r="S7" s="92">
        <f>M7-R7</f>
        <v>-127689.56</v>
      </c>
    </row>
    <row r="8" spans="1:22" ht="15.75">
      <c r="A8" s="92">
        <f>A7+S7</f>
        <v>-193643.444</v>
      </c>
      <c r="B8" s="55" t="s">
        <v>192</v>
      </c>
      <c r="C8" s="117">
        <v>387526.08</v>
      </c>
      <c r="D8" s="117">
        <v>26046.36</v>
      </c>
      <c r="E8" s="117">
        <f>SUM(C8:D8)</f>
        <v>413572.44</v>
      </c>
      <c r="F8" s="117">
        <f>'отчет 2010'!H10</f>
        <v>357826.22</v>
      </c>
      <c r="G8" s="117">
        <f>'отчет 2010'!H11</f>
        <v>24059.6</v>
      </c>
      <c r="H8" s="117">
        <f>SUM(F8:G8)</f>
        <v>381885.81999999995</v>
      </c>
      <c r="I8" s="134">
        <f>E8-H8</f>
        <v>31686.620000000054</v>
      </c>
      <c r="J8" s="117">
        <f>'отчет 2010'!I12</f>
        <v>4631.12</v>
      </c>
      <c r="K8" s="117">
        <v>0</v>
      </c>
      <c r="L8" s="117">
        <v>0</v>
      </c>
      <c r="M8" s="117">
        <f>H8+J8+K8+L8</f>
        <v>386516.93999999994</v>
      </c>
      <c r="N8" s="117">
        <f>'отчет 2010'!J29</f>
        <v>39913.452</v>
      </c>
      <c r="O8" s="117">
        <f>'отчет 2010'!J34-'отчет 2010'!J29</f>
        <v>314454.25080000004</v>
      </c>
      <c r="P8" s="117">
        <f>'отчет 2010'!H35</f>
        <v>15920</v>
      </c>
      <c r="Q8" s="181">
        <v>0</v>
      </c>
      <c r="R8" s="92">
        <f>SUM(N8:Q8)</f>
        <v>370287.7028</v>
      </c>
      <c r="S8" s="92">
        <f>M8-R8</f>
        <v>16229.237199999916</v>
      </c>
      <c r="U8" s="101"/>
      <c r="V8" s="101"/>
    </row>
    <row r="9" spans="1:19" ht="15.75">
      <c r="A9" s="92">
        <f>A8+S8</f>
        <v>-177414.20680000007</v>
      </c>
      <c r="B9" s="55" t="s">
        <v>193</v>
      </c>
      <c r="C9" s="92">
        <v>445666.05</v>
      </c>
      <c r="D9" s="92">
        <v>29993.58</v>
      </c>
      <c r="E9" s="117">
        <f>SUM(C9:D9)</f>
        <v>475659.63</v>
      </c>
      <c r="F9" s="92">
        <f>'отчет 2011'!H10</f>
        <v>450388.82</v>
      </c>
      <c r="G9" s="92">
        <f>'отчет 2011'!H11</f>
        <v>29446.39</v>
      </c>
      <c r="H9" s="117">
        <f>SUM(F9:G9)</f>
        <v>479835.21</v>
      </c>
      <c r="I9" s="134">
        <f>E9-H9</f>
        <v>-4175.580000000016</v>
      </c>
      <c r="J9" s="92">
        <f>'отчет 2011'!I12</f>
        <v>5747.3</v>
      </c>
      <c r="K9" s="92">
        <f>'отчет 2011'!I13</f>
        <v>0</v>
      </c>
      <c r="L9" s="92">
        <f>'отчет 2011'!H13</f>
        <v>0</v>
      </c>
      <c r="M9" s="117">
        <f>H9+J9+K9+L9</f>
        <v>485582.51</v>
      </c>
      <c r="N9" s="92">
        <f>'отчет 2011'!J29</f>
        <v>46028.380000000005</v>
      </c>
      <c r="O9" s="92">
        <f>'отчет 2011'!J32-'отчет 2011'!J29</f>
        <v>363070.295</v>
      </c>
      <c r="P9" s="92">
        <f>'отчет 2011'!H36</f>
        <v>8435</v>
      </c>
      <c r="Q9" s="182">
        <f>'отчет 2011'!H38</f>
        <v>0</v>
      </c>
      <c r="R9" s="92">
        <f>SUM(N9:Q9)</f>
        <v>417533.675</v>
      </c>
      <c r="S9" s="92">
        <f>M9-R9</f>
        <v>68048.83500000002</v>
      </c>
    </row>
    <row r="10" spans="1:19" ht="15.75">
      <c r="A10" s="92">
        <f>A9+S9</f>
        <v>-109365.37180000005</v>
      </c>
      <c r="B10" s="55" t="s">
        <v>194</v>
      </c>
      <c r="C10" s="92">
        <v>454412.08</v>
      </c>
      <c r="D10" s="92">
        <v>30783.96</v>
      </c>
      <c r="E10" s="117">
        <f>SUM(C10:D10)</f>
        <v>485196.04000000004</v>
      </c>
      <c r="F10" s="92">
        <f>отчет12стар!I10</f>
        <v>444008.84</v>
      </c>
      <c r="G10" s="92">
        <f>отчет12стар!I11</f>
        <v>29483.01</v>
      </c>
      <c r="H10" s="117">
        <f>SUM(F10:G10)</f>
        <v>473491.85000000003</v>
      </c>
      <c r="I10" s="134">
        <f>E10-H10</f>
        <v>11704.190000000002</v>
      </c>
      <c r="J10" s="92">
        <f>отчет12стар!J12</f>
        <v>5982.8</v>
      </c>
      <c r="K10" s="92">
        <v>0</v>
      </c>
      <c r="L10" s="92">
        <v>0</v>
      </c>
      <c r="M10" s="117">
        <f>H10+J10+K10+L10</f>
        <v>479474.65</v>
      </c>
      <c r="N10" s="92">
        <f>отчет12стар!K29</f>
        <v>46740.07</v>
      </c>
      <c r="O10" s="92">
        <f>отчет12стар!K31-отчет12стар!K29</f>
        <v>371850.44999999995</v>
      </c>
      <c r="P10" s="92">
        <f>отчет12стар!I35</f>
        <v>181672</v>
      </c>
      <c r="Q10" s="180">
        <v>0</v>
      </c>
      <c r="R10" s="92">
        <f>SUM(N10:Q10)</f>
        <v>600262.52</v>
      </c>
      <c r="S10" s="92">
        <f>M10-R10</f>
        <v>-120787.87</v>
      </c>
    </row>
    <row r="11" spans="1:19" ht="15.75">
      <c r="A11" s="34"/>
      <c r="B11" s="55" t="s">
        <v>195</v>
      </c>
      <c r="C11" s="30">
        <f aca="true" t="shared" si="0" ref="C11:S11">SUM(C6:C10)</f>
        <v>1918408.6600000001</v>
      </c>
      <c r="D11" s="30">
        <f t="shared" si="0"/>
        <v>131868.11000000002</v>
      </c>
      <c r="E11" s="30">
        <f t="shared" si="0"/>
        <v>2050276.77</v>
      </c>
      <c r="F11" s="30">
        <f t="shared" si="0"/>
        <v>1844778.6700000002</v>
      </c>
      <c r="G11" s="30">
        <f t="shared" si="0"/>
        <v>127068.72</v>
      </c>
      <c r="H11" s="30">
        <f t="shared" si="0"/>
        <v>1971847.3900000001</v>
      </c>
      <c r="I11" s="30">
        <f t="shared" si="0"/>
        <v>78429.37999999998</v>
      </c>
      <c r="J11" s="30">
        <f t="shared" si="0"/>
        <v>16361.220000000001</v>
      </c>
      <c r="K11" s="30">
        <f t="shared" si="0"/>
        <v>0</v>
      </c>
      <c r="L11" s="30">
        <f t="shared" si="0"/>
        <v>0</v>
      </c>
      <c r="M11" s="30">
        <f t="shared" si="0"/>
        <v>1988208.6099999999</v>
      </c>
      <c r="N11" s="30">
        <f t="shared" si="0"/>
        <v>198833.456</v>
      </c>
      <c r="O11" s="30">
        <f t="shared" si="0"/>
        <v>1530801.3958</v>
      </c>
      <c r="P11" s="30">
        <f t="shared" si="0"/>
        <v>488727</v>
      </c>
      <c r="Q11" s="30">
        <f t="shared" si="0"/>
        <v>0</v>
      </c>
      <c r="R11" s="30">
        <f t="shared" si="0"/>
        <v>2218361.8518000003</v>
      </c>
      <c r="S11" s="30">
        <f t="shared" si="0"/>
        <v>-230153.24180000005</v>
      </c>
    </row>
    <row r="13" spans="4:25" ht="18.75" customHeight="1">
      <c r="D13" s="274" t="s">
        <v>248</v>
      </c>
      <c r="E13" s="274"/>
      <c r="F13" s="274"/>
      <c r="G13" s="274"/>
      <c r="H13" s="274" t="s">
        <v>249</v>
      </c>
      <c r="I13" s="274"/>
      <c r="J13" s="274"/>
      <c r="K13" s="274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spans="4:25" ht="18.75">
      <c r="D14" s="184"/>
      <c r="E14" s="184"/>
      <c r="F14" s="184"/>
      <c r="G14" s="184"/>
      <c r="H14" s="184"/>
      <c r="I14" s="184"/>
      <c r="J14" s="184"/>
      <c r="K14" s="184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</row>
    <row r="15" spans="4:25" ht="18.75">
      <c r="D15" s="183"/>
      <c r="E15" s="185"/>
      <c r="F15" s="185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4:25" ht="18.75">
      <c r="D16" s="184" t="s">
        <v>250</v>
      </c>
      <c r="E16" s="184"/>
      <c r="F16" s="184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4:25" ht="18.75">
      <c r="D17" s="184" t="s">
        <v>251</v>
      </c>
      <c r="E17" s="184"/>
      <c r="F17" s="184"/>
      <c r="G17" s="184"/>
      <c r="H17" s="184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4:25" ht="18.75" customHeight="1">
      <c r="D18" s="275" t="s">
        <v>252</v>
      </c>
      <c r="E18" s="275"/>
      <c r="F18" s="275"/>
      <c r="G18" s="275"/>
      <c r="H18" s="274" t="s">
        <v>253</v>
      </c>
      <c r="I18" s="274"/>
      <c r="J18" s="274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</row>
    <row r="19" spans="4:25" ht="15.75"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</row>
    <row r="20" spans="4:25" ht="15.75"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</row>
    <row r="21" spans="4:25" ht="15.75"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</row>
    <row r="22" spans="4:25" ht="15.75">
      <c r="D22" s="183" t="s">
        <v>254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</row>
  </sheetData>
  <mergeCells count="23">
    <mergeCell ref="D13:G13"/>
    <mergeCell ref="H13:K13"/>
    <mergeCell ref="D18:G18"/>
    <mergeCell ref="H18:J18"/>
    <mergeCell ref="R3:R4"/>
    <mergeCell ref="N3:N4"/>
    <mergeCell ref="O3:O4"/>
    <mergeCell ref="P3:P4"/>
    <mergeCell ref="Q3:Q4"/>
    <mergeCell ref="I3:I4"/>
    <mergeCell ref="J3:J4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2013-03-18T11:19:55Z</cp:lastPrinted>
  <dcterms:created xsi:type="dcterms:W3CDTF">2009-08-26T03:25:10Z</dcterms:created>
  <dcterms:modified xsi:type="dcterms:W3CDTF">2013-03-28T10:14:38Z</dcterms:modified>
  <cp:category/>
  <cp:version/>
  <cp:contentType/>
  <cp:contentStatus/>
</cp:coreProperties>
</file>