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 2012" sheetId="7" state="hidden" r:id="rId7"/>
    <sheet name="отчет12стар" sheetId="8" r:id="rId8"/>
    <sheet name="накопит" sheetId="9" state="hidden" r:id="rId9"/>
  </sheets>
  <definedNames>
    <definedName name="_xlnm.Print_Area" localSheetId="5">'смета 2012'!$A$1:$I$34</definedName>
  </definedNames>
  <calcPr fullCalcOnLoad="1"/>
</workbook>
</file>

<file path=xl/sharedStrings.xml><?xml version="1.0" encoding="utf-8"?>
<sst xmlns="http://schemas.openxmlformats.org/spreadsheetml/2006/main" count="716" uniqueCount="256">
  <si>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</si>
  <si>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</si>
  <si>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</si>
  <si>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</si>
  <si>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</si>
  <si>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</si>
  <si>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</si>
  <si>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</si>
  <si>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</si>
  <si>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</si>
  <si>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</si>
  <si>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</si>
  <si>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</si>
  <si>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</si>
  <si>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</si>
  <si>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</si>
  <si>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</si>
  <si>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</si>
  <si>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</si>
  <si>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</si>
  <si>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</si>
  <si>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</si>
  <si>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</si>
  <si>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</si>
  <si>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</si>
  <si>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</si>
  <si>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</si>
  <si>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</si>
  <si>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</si>
  <si>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</si>
  <si>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</si>
  <si>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</si>
  <si>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</si>
  <si>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</si>
  <si>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</si>
  <si>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</si>
  <si>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</si>
  <si>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</si>
  <si>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</si>
  <si>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</si>
  <si>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</si>
  <si>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</si>
  <si>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</si>
  <si>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</si>
  <si>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</si>
  <si>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</si>
  <si>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</si>
  <si>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</si>
  <si>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</si>
  <si>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</si>
  <si>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</si>
  <si>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</si>
  <si>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</si>
  <si>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</si>
  <si>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</si>
  <si>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</si>
  <si>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</si>
  <si>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</si>
  <si>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</si>
  <si>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</si>
  <si>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</si>
  <si>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</si>
  <si>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</si>
  <si>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</si>
  <si>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</si>
  <si>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</si>
  <si>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</si>
  <si>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</si>
  <si>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</si>
  <si>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</si>
  <si>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</si>
  <si>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</si>
  <si>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</si>
  <si>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 xml:space="preserve">Адрес: </t>
  </si>
  <si>
    <t>ООО "ОЖКС № 1"</t>
  </si>
  <si>
    <t>Претензий по управлению нет (да)</t>
  </si>
  <si>
    <t>Противопожарные мероприятия:  содержание и обслуживание вентканалов и шахт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</si>
  <si>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</si>
  <si>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</si>
  <si>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</si>
  <si>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</si>
  <si>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</si>
  <si>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</si>
  <si>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ОТЧЕТ
за  2009 г. о выполненнии условий  договора управления МКД 
№ 332/1 от 28.03.08 г., заключенного между ООО "ОЖКС № 1" 
и собственниками многоквартирного дома
по адресу:  ул. Медногорская, 32</t>
  </si>
  <si>
    <t>ул. Медногорская, 32</t>
  </si>
  <si>
    <t xml:space="preserve">         Представитель собственников  - старший по дому Хауленко В.А.,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</si>
  <si>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В.А. Хауленко                        </t>
  </si>
  <si>
    <t>ОТЧЕТ
о выполненных работах в 2008 году по договору управления МКД 
№ 332 от 28.03.2008 г., заключенного между ООО "ОЖКС №1" и собственниками многоквартирного дома
по адресу:  ул. Медногорская, 32</t>
  </si>
  <si>
    <t xml:space="preserve">        Представитель собственников  - старший по дому Хауленко В.А.,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</si>
  <si>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</si>
  <si>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</si>
  <si>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</si>
  <si>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</si>
  <si>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</si>
  <si>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</si>
  <si>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</si>
  <si>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</si>
  <si>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</si>
  <si>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</si>
  <si>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</si>
  <si>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</si>
  <si>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</si>
  <si>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</si>
  <si>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</si>
  <si>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</si>
  <si>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</si>
  <si>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</si>
  <si>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</si>
  <si>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</si>
  <si>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</si>
  <si>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</si>
  <si>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</si>
  <si>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</si>
  <si>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</si>
  <si>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</si>
  <si>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</si>
  <si>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</si>
  <si>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</si>
  <si>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</si>
  <si>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</si>
  <si>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</si>
  <si>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</si>
  <si>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</si>
  <si>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</si>
  <si>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</si>
  <si>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</si>
  <si>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</si>
  <si>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</si>
  <si>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</si>
  <si>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</si>
  <si>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</si>
  <si>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В.А.Хауленко                        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</si>
  <si>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</si>
  <si>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</si>
  <si>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</si>
  <si>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</si>
  <si>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</si>
  <si>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</si>
  <si>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</si>
  <si>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Адрес: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</si>
  <si>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</si>
  <si>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</si>
  <si>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</si>
  <si>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</si>
  <si>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</si>
  <si>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</si>
  <si>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</si>
  <si>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</si>
  <si>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</si>
  <si>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</si>
  <si>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</si>
  <si>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</si>
  <si>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</si>
  <si>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</si>
  <si>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</si>
  <si>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</si>
  <si>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</si>
  <si>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</si>
  <si>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</si>
  <si>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</si>
  <si>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</si>
  <si>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</si>
  <si>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</si>
  <si>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</si>
  <si>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</si>
  <si>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</si>
  <si>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</si>
  <si>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</si>
  <si>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</si>
  <si>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</si>
  <si>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</si>
  <si>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</si>
  <si>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</si>
  <si>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</si>
  <si>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</si>
  <si>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</si>
  <si>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</si>
  <si>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</si>
  <si>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</si>
  <si>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</si>
  <si>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</si>
  <si>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</si>
  <si>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</si>
  <si>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</si>
  <si>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</si>
  <si>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</si>
  <si>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</si>
  <si>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</si>
  <si>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</si>
  <si>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</si>
  <si>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</si>
  <si>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</si>
  <si>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</si>
  <si>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</si>
  <si>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</si>
  <si>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</si>
  <si>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</si>
  <si>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</si>
  <si>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</si>
  <si>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</si>
  <si>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</si>
  <si>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</si>
  <si>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</si>
  <si>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</si>
  <si>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</si>
  <si>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</si>
  <si>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</si>
  <si>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332/1 от 28.03.08 г., заключенного между ООО "ОЖКС № 1" 
и собственниками многоквартирного дома
по адресу:  ул. Медногорская, 32</t>
  </si>
  <si>
    <t xml:space="preserve">                  Представитель собственников  - старший по дому Хауленко В.А.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</si>
  <si>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 xml:space="preserve">Старший по дому                                                                                  В.А. Хауленко                        </t>
  </si>
  <si>
    <t>ОТЧЕТ
по  договору управления МКД 
№ 332/1 от 28.03.08 г., заключенного между ООО "ОЖКС № 1" 
и собственниками многоквартирного дома
по адресу:  ул. Медногорская, 32</t>
  </si>
  <si>
    <t>Смета
расходов и доходов  на  2011 г.
по договору управления МКД 
№ 332/1 от 28.03.08 г., заключенного между ООО "ОЖКС № 1" 
и собственниками многоквартирного дома
по адресу:  ул. Медногорская, 32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</si>
  <si>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</si>
  <si>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</si>
  <si>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</si>
  <si>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>ОТЧЕТ
за  2011 г. о выполненнии условий  договора управления МКД 
№ 332/1 от 28.03.08 г., заключенного между ООО "ОЖКС № 1" 
и собственниками многоквартирного дома
по адресу:  ул. Медногорская, 32</t>
  </si>
  <si>
    <t xml:space="preserve">                  Представитель собственников  - старший по дому ___________________________ с одной стороны и Общество с Ограниченной Ответственностью "Октябрьский Жилкомсервис № 1" в лице директора _________________________ действующей на основании Устава,  с другой стороны, составили настоящий отчет о выполненных работах в 2011 году.  </t>
  </si>
  <si>
    <t>Директор ООО "ОЖКС № 1"                                             _________________________</t>
  </si>
  <si>
    <t>Старший по дому                                                                 ______________________</t>
  </si>
  <si>
    <t>Смета
расходов и доходов  на  2012 г.
по договору управления МКД 
№ 332/1 от 28.03.08 г., заключенного между ООО "ОЖКС № 1" 
и собственниками многоквартирного дома
по адресу:  ул. Медногорская, 32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</si>
  <si>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</si>
  <si>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Директор ООО "ОЖКС № 1"                                                     А.В. Яроцкова                          </t>
  </si>
  <si>
    <t xml:space="preserve">         Приложение №7 к Договору на оказание услуг и  выполнение работ по содержанию, текущему и   капитальному        ремонту общего имущества                                                                  МКД № ___ от "____"___________2012г.</t>
  </si>
  <si>
    <t>Расчет стоимости договора и тарифа 1 м2 на 2012г.</t>
  </si>
  <si>
    <t>Тариф с 1 июля 2012 г. - 11,21 руб., капитальный ремонт - 0,80 руб.</t>
  </si>
  <si>
    <t>Тариф 
на 1 кв.м. июль-декабрь 2012г.
руб.</t>
  </si>
  <si>
    <t>Стоимость работ
июль-декабрь 2012г.             руб.</t>
  </si>
  <si>
    <t>5=гр.4*Sдома*6мес.</t>
  </si>
  <si>
    <t xml:space="preserve"> Текущий ремонт общего имущества </t>
  </si>
  <si>
    <t>по плану работ</t>
  </si>
  <si>
    <t xml:space="preserve">Капитальный ремонт </t>
  </si>
  <si>
    <t xml:space="preserve">Директор ООО "Октябрьский ЖКС № 1"                       </t>
  </si>
  <si>
    <t>_________________ А.В. Яроцкова</t>
  </si>
  <si>
    <t>Представитель Собственников</t>
  </si>
  <si>
    <t>________________________</t>
  </si>
  <si>
    <t>ОТЧЕТ
за  2012 г. о выполненнии условий  договора управления МКД 
№ 332/1 от 28.03.08 г., заключенного между ООО "ОЖКС № 1" 
и собственниками многоквартирного дома
по адресу:  ул. Медногорская, 32</t>
  </si>
  <si>
    <t xml:space="preserve">                  Представитель собственников  - старший по дому ___________________________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</si>
  <si>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</si>
  <si>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</si>
  <si>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</si>
  <si>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</si>
  <si>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</si>
  <si>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</si>
  <si>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</si>
  <si>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</si>
  <si>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</si>
  <si>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</si>
  <si>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</si>
  <si>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</si>
  <si>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</si>
  <si>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</si>
  <si>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</si>
  <si>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>Старший по дому                                                                   _____________________</t>
  </si>
  <si>
    <t>_______________/________/</t>
  </si>
  <si>
    <t>Исполнитель: Стыценкова И.А.</t>
  </si>
  <si>
    <t>Старший по дому                                                         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</si>
</sst>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0.0"/>
  </numFmts>
  <fonts count="2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2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0" fontId="2" fillId="0" borderId="2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8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1" fillId="0" borderId="0" xfId="0" applyFont="1" applyAlignment="1">
      <alignment vertical="center" wrapText="1" shrinkToFi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0" fontId="0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F26" sqref="F26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2.75390625" style="0" customWidth="1"/>
    <col min="5" max="5" width="14.00390625" style="0" hidden="1" customWidth="1"/>
  </cols>
  <sheetData>
    <row r="1" spans="1:4" ht="104.25" customHeight="1">
      <c r="A1" s="195" t="s">
        <v>87</v>
      </c>
      <c r="B1" s="195"/>
      <c r="C1" s="195"/>
      <c r="D1" s="195"/>
    </row>
    <row r="2" spans="1:4" ht="87.75" customHeight="1">
      <c r="A2" s="196" t="s">
        <v>88</v>
      </c>
      <c r="B2" s="196"/>
      <c r="C2" s="196"/>
      <c r="D2" s="196"/>
    </row>
    <row r="3" spans="1:5" ht="39" customHeight="1">
      <c r="A3" s="22" t="s">
        <v>89</v>
      </c>
      <c r="B3" s="22" t="s">
        <v>90</v>
      </c>
      <c r="C3" s="11" t="s">
        <v>91</v>
      </c>
      <c r="D3" s="51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f>D4</f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3591.4</v>
      </c>
      <c r="E5" s="59">
        <f>D5</f>
        <v>3591.4</v>
      </c>
    </row>
    <row r="6" spans="1:5" ht="15.75">
      <c r="A6" s="55" t="s">
        <v>100</v>
      </c>
      <c r="B6" s="56" t="s">
        <v>101</v>
      </c>
      <c r="C6" s="57" t="s">
        <v>96</v>
      </c>
      <c r="D6" s="60">
        <v>80</v>
      </c>
      <c r="E6" s="60">
        <f>D6</f>
        <v>80</v>
      </c>
    </row>
    <row r="7" spans="1:5" ht="15.75">
      <c r="A7" s="55" t="s">
        <v>102</v>
      </c>
      <c r="B7" s="56" t="s">
        <v>103</v>
      </c>
      <c r="C7" s="50"/>
      <c r="D7" s="58"/>
      <c r="E7" s="58"/>
    </row>
    <row r="8" spans="1:5" ht="15.75">
      <c r="A8" s="61" t="s">
        <v>104</v>
      </c>
      <c r="B8" s="56" t="s">
        <v>105</v>
      </c>
      <c r="C8" s="50"/>
      <c r="D8" s="58"/>
      <c r="E8" s="58"/>
    </row>
    <row r="9" spans="1:5" ht="17.25" customHeight="1">
      <c r="A9" s="62"/>
      <c r="B9" s="34" t="s">
        <v>106</v>
      </c>
      <c r="C9" s="50" t="s">
        <v>107</v>
      </c>
      <c r="D9" s="58">
        <v>261591.8</v>
      </c>
      <c r="E9" s="58">
        <f>D9</f>
        <v>261591.8</v>
      </c>
    </row>
    <row r="10" spans="1:5" ht="16.5" customHeight="1">
      <c r="A10" s="62"/>
      <c r="B10" s="34" t="s">
        <v>108</v>
      </c>
      <c r="C10" s="50" t="s">
        <v>107</v>
      </c>
      <c r="D10" s="58">
        <v>252981.05</v>
      </c>
      <c r="E10" s="58">
        <f>D10</f>
        <v>252981.05</v>
      </c>
    </row>
    <row r="11" spans="1:5" ht="15.75">
      <c r="A11" s="62"/>
      <c r="B11" s="56" t="s">
        <v>109</v>
      </c>
      <c r="C11" s="57" t="s">
        <v>107</v>
      </c>
      <c r="D11" s="63">
        <f>D9-D10</f>
        <v>8610.75</v>
      </c>
      <c r="E11" s="63">
        <f>E9-E10</f>
        <v>8610.75</v>
      </c>
    </row>
    <row r="12" spans="1:5" ht="18" customHeight="1">
      <c r="A12" s="61" t="s">
        <v>110</v>
      </c>
      <c r="B12" s="56" t="s">
        <v>111</v>
      </c>
      <c r="C12" s="50"/>
      <c r="D12" s="58"/>
      <c r="E12" s="58"/>
    </row>
    <row r="13" spans="1:5" ht="15.75">
      <c r="A13" s="62"/>
      <c r="B13" s="34" t="s">
        <v>106</v>
      </c>
      <c r="C13" s="50" t="s">
        <v>107</v>
      </c>
      <c r="D13" s="58">
        <v>17577.37</v>
      </c>
      <c r="E13" s="58">
        <v>0</v>
      </c>
    </row>
    <row r="14" spans="1:5" ht="15.75" customHeight="1">
      <c r="A14" s="62"/>
      <c r="B14" s="34" t="s">
        <v>108</v>
      </c>
      <c r="C14" s="50" t="s">
        <v>107</v>
      </c>
      <c r="D14" s="58">
        <v>17115.08</v>
      </c>
      <c r="E14" s="58">
        <v>0</v>
      </c>
    </row>
    <row r="15" spans="1:5" ht="15.75" customHeight="1">
      <c r="A15" s="62"/>
      <c r="B15" s="56" t="s">
        <v>109</v>
      </c>
      <c r="C15" s="57" t="s">
        <v>107</v>
      </c>
      <c r="D15" s="63">
        <f>D13-D14</f>
        <v>462.28999999999724</v>
      </c>
      <c r="E15" s="63">
        <f>E13-E14</f>
        <v>0</v>
      </c>
    </row>
    <row r="16" spans="1:5" ht="15" customHeight="1">
      <c r="A16" s="64" t="s">
        <v>112</v>
      </c>
      <c r="B16" s="56" t="s">
        <v>113</v>
      </c>
      <c r="C16" s="50"/>
      <c r="D16" s="65"/>
      <c r="E16" s="65"/>
    </row>
    <row r="17" spans="1:5" ht="15.75">
      <c r="A17" s="66"/>
      <c r="B17" s="34" t="s">
        <v>106</v>
      </c>
      <c r="C17" s="50" t="s">
        <v>107</v>
      </c>
      <c r="D17" s="65">
        <v>2605.5</v>
      </c>
      <c r="E17" s="65">
        <f>D17</f>
        <v>2605.5</v>
      </c>
    </row>
    <row r="18" spans="1:5" ht="15.75" customHeight="1">
      <c r="A18" s="66"/>
      <c r="B18" s="34" t="s">
        <v>108</v>
      </c>
      <c r="C18" s="50" t="s">
        <v>107</v>
      </c>
      <c r="D18" s="65">
        <v>2307.62</v>
      </c>
      <c r="E18" s="65">
        <f>D18</f>
        <v>2307.62</v>
      </c>
    </row>
    <row r="19" spans="1:5" ht="15.75">
      <c r="A19" s="66"/>
      <c r="B19" s="56" t="s">
        <v>109</v>
      </c>
      <c r="C19" s="50" t="s">
        <v>107</v>
      </c>
      <c r="D19" s="67">
        <f>D17-D18</f>
        <v>297.8800000000001</v>
      </c>
      <c r="E19" s="67">
        <f>E17-E18</f>
        <v>297.8800000000001</v>
      </c>
    </row>
    <row r="20" spans="1:5" ht="24.75" customHeight="1">
      <c r="A20" s="62"/>
      <c r="B20" s="56" t="s">
        <v>114</v>
      </c>
      <c r="C20" s="50" t="s">
        <v>107</v>
      </c>
      <c r="D20" s="63">
        <f>D9+D13+D17</f>
        <v>281774.67</v>
      </c>
      <c r="E20" s="63">
        <f>E9+E13+E17</f>
        <v>264197.3</v>
      </c>
    </row>
    <row r="21" spans="1:5" ht="21" customHeight="1">
      <c r="A21" s="62"/>
      <c r="B21" s="56" t="s">
        <v>115</v>
      </c>
      <c r="C21" s="50" t="s">
        <v>107</v>
      </c>
      <c r="D21" s="63">
        <f>D11+D15+D19</f>
        <v>9370.919999999998</v>
      </c>
      <c r="E21" s="63">
        <f>E11+E15+E19</f>
        <v>8908.630000000001</v>
      </c>
    </row>
    <row r="22" spans="1:5" ht="18" customHeight="1">
      <c r="A22" s="55" t="s">
        <v>116</v>
      </c>
      <c r="B22" s="68" t="s">
        <v>117</v>
      </c>
      <c r="C22" s="50"/>
      <c r="D22" s="58"/>
      <c r="E22" s="58"/>
    </row>
    <row r="23" spans="1:5" ht="74.25" customHeight="1">
      <c r="A23" s="69" t="s">
        <v>118</v>
      </c>
      <c r="B23" s="70" t="s">
        <v>119</v>
      </c>
      <c r="C23" s="57" t="s">
        <v>107</v>
      </c>
      <c r="D23" s="63">
        <f>D9*0.11</f>
        <v>28775.097999999998</v>
      </c>
      <c r="E23" s="63">
        <f>E9*0.11</f>
        <v>28775.097999999998</v>
      </c>
    </row>
    <row r="24" spans="1:5" ht="91.5" customHeight="1">
      <c r="A24" s="69" t="s">
        <v>120</v>
      </c>
      <c r="B24" s="70" t="s">
        <v>121</v>
      </c>
      <c r="C24" s="57" t="s">
        <v>107</v>
      </c>
      <c r="D24" s="63">
        <f>D9*0.7</f>
        <v>183114.25999999998</v>
      </c>
      <c r="E24" s="63">
        <f>E9*0.7</f>
        <v>183114.25999999998</v>
      </c>
    </row>
    <row r="25" spans="1:5" ht="14.25" customHeight="1">
      <c r="A25" s="69" t="s">
        <v>122</v>
      </c>
      <c r="B25" s="56" t="s">
        <v>123</v>
      </c>
      <c r="C25" s="57" t="s">
        <v>107</v>
      </c>
      <c r="D25" s="71">
        <v>100100</v>
      </c>
      <c r="E25" s="71">
        <f>D25</f>
        <v>100100</v>
      </c>
    </row>
    <row r="26" spans="1:5" ht="13.5" customHeight="1">
      <c r="A26" s="69" t="s">
        <v>124</v>
      </c>
      <c r="B26" s="56" t="s">
        <v>125</v>
      </c>
      <c r="C26" s="57" t="s">
        <v>107</v>
      </c>
      <c r="D26" s="71">
        <v>0</v>
      </c>
      <c r="E26" s="71">
        <v>0</v>
      </c>
    </row>
    <row r="27" spans="1:5" ht="15.75">
      <c r="A27" s="62"/>
      <c r="B27" s="56" t="s">
        <v>126</v>
      </c>
      <c r="C27" s="57" t="s">
        <v>107</v>
      </c>
      <c r="D27" s="63">
        <f>D23+D24+D25+D26</f>
        <v>311989.358</v>
      </c>
      <c r="E27" s="63">
        <f>E23+E24+E25+E26</f>
        <v>311989.358</v>
      </c>
    </row>
    <row r="28" spans="1:5" ht="15.75">
      <c r="A28" s="61" t="s">
        <v>56</v>
      </c>
      <c r="B28" s="56" t="s">
        <v>127</v>
      </c>
      <c r="C28" s="50" t="s">
        <v>107</v>
      </c>
      <c r="D28" s="58">
        <f>D20-D27</f>
        <v>-30214.688000000024</v>
      </c>
      <c r="E28" s="58">
        <f>E20-E27</f>
        <v>-47792.05800000002</v>
      </c>
    </row>
    <row r="29" spans="1:5" ht="31.5">
      <c r="A29" s="69" t="s">
        <v>128</v>
      </c>
      <c r="B29" s="70" t="s">
        <v>129</v>
      </c>
      <c r="C29" s="50" t="s">
        <v>107</v>
      </c>
      <c r="D29" s="58">
        <f>D28-D21</f>
        <v>-39585.60800000002</v>
      </c>
      <c r="E29" s="58">
        <f>E28-E21</f>
        <v>-56700.688000000024</v>
      </c>
    </row>
    <row r="30" spans="1:4" ht="15.75">
      <c r="A30" s="72"/>
      <c r="B30" s="73"/>
      <c r="C30" s="74"/>
      <c r="D30" s="74"/>
    </row>
    <row r="31" spans="1:4" ht="17.25" customHeight="1">
      <c r="A31" s="33"/>
      <c r="B31" s="197" t="s">
        <v>130</v>
      </c>
      <c r="C31" s="197"/>
      <c r="D31" s="197"/>
    </row>
    <row r="32" spans="2:4" ht="15.75">
      <c r="B32" s="75"/>
      <c r="C32" s="75"/>
      <c r="D32" s="75"/>
    </row>
    <row r="33" spans="2:4" ht="15.75">
      <c r="B33" s="76" t="s">
        <v>72</v>
      </c>
      <c r="C33" s="76"/>
      <c r="D33" s="76"/>
    </row>
    <row r="34" spans="2:4" ht="15.75">
      <c r="B34" s="198" t="s">
        <v>131</v>
      </c>
      <c r="C34" s="198"/>
      <c r="D34" s="198"/>
    </row>
    <row r="35" spans="2:4" ht="15.75">
      <c r="B35" s="194" t="s">
        <v>75</v>
      </c>
      <c r="C35" s="194"/>
      <c r="D35" s="194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8">
      <selection activeCell="A44" sqref="A44:G4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7.5" customHeight="1">
      <c r="A1" s="189" t="s">
        <v>83</v>
      </c>
      <c r="B1" s="189"/>
      <c r="C1" s="189"/>
      <c r="D1" s="189"/>
      <c r="E1" s="189"/>
      <c r="F1" s="189"/>
      <c r="G1" s="189"/>
      <c r="H1" s="189"/>
    </row>
    <row r="2" spans="1:8" ht="61.5" customHeight="1">
      <c r="A2" s="190" t="s">
        <v>85</v>
      </c>
      <c r="B2" s="190"/>
      <c r="C2" s="190"/>
      <c r="D2" s="190"/>
      <c r="E2" s="190"/>
      <c r="F2" s="190"/>
      <c r="G2" s="190"/>
      <c r="H2" s="190"/>
    </row>
    <row r="3" spans="1:6" ht="18.75">
      <c r="A3" s="1" t="s">
        <v>73</v>
      </c>
      <c r="B3" s="1" t="s">
        <v>84</v>
      </c>
      <c r="C3" s="2"/>
      <c r="D3" s="2" t="s">
        <v>0</v>
      </c>
      <c r="E3" s="26">
        <v>3591.4</v>
      </c>
      <c r="F3" s="2"/>
    </row>
    <row r="4" spans="2:6" ht="15.75">
      <c r="B4" s="3" t="s">
        <v>1</v>
      </c>
      <c r="C4" s="44">
        <v>5</v>
      </c>
      <c r="D4" s="2" t="s">
        <v>2</v>
      </c>
      <c r="E4" s="27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55</v>
      </c>
      <c r="B7" s="201"/>
      <c r="C7" s="201"/>
      <c r="D7" s="201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02" t="s">
        <v>59</v>
      </c>
      <c r="C8" s="191"/>
      <c r="D8" s="191"/>
      <c r="E8" s="191"/>
      <c r="F8" s="192"/>
      <c r="G8" s="15"/>
      <c r="H8" s="16"/>
    </row>
    <row r="9" spans="1:8" ht="15.75">
      <c r="A9" s="22"/>
      <c r="B9" s="200" t="s">
        <v>60</v>
      </c>
      <c r="C9" s="200"/>
      <c r="D9" s="200"/>
      <c r="E9" s="200"/>
      <c r="F9" s="200"/>
      <c r="G9" s="15"/>
      <c r="H9" s="30">
        <v>26934.49</v>
      </c>
    </row>
    <row r="10" spans="1:8" ht="15.75">
      <c r="A10" s="22">
        <v>1</v>
      </c>
      <c r="B10" s="199" t="s">
        <v>57</v>
      </c>
      <c r="C10" s="199"/>
      <c r="D10" s="199"/>
      <c r="E10" s="199"/>
      <c r="F10" s="199"/>
      <c r="G10" s="15"/>
      <c r="H10" s="34">
        <v>373111.64</v>
      </c>
    </row>
    <row r="11" spans="1:8" ht="15.75">
      <c r="A11" s="22"/>
      <c r="B11" s="199" t="s">
        <v>61</v>
      </c>
      <c r="C11" s="199"/>
      <c r="D11" s="199"/>
      <c r="E11" s="199"/>
      <c r="F11" s="199"/>
      <c r="G11" s="15"/>
      <c r="H11" s="35">
        <f>H10*0.9</f>
        <v>335800.476</v>
      </c>
    </row>
    <row r="12" spans="1:8" ht="15.75" customHeight="1">
      <c r="A12" s="22"/>
      <c r="B12" s="199" t="s">
        <v>62</v>
      </c>
      <c r="C12" s="199"/>
      <c r="D12" s="199"/>
      <c r="E12" s="199"/>
      <c r="F12" s="199"/>
      <c r="G12" s="15"/>
      <c r="H12" s="35">
        <f>H10-H11</f>
        <v>37311.16399999999</v>
      </c>
    </row>
    <row r="13" spans="1:8" ht="15.75" customHeight="1">
      <c r="A13" s="22">
        <v>2</v>
      </c>
      <c r="B13" s="199" t="s">
        <v>58</v>
      </c>
      <c r="C13" s="199"/>
      <c r="D13" s="199"/>
      <c r="E13" s="199"/>
      <c r="F13" s="199"/>
      <c r="G13" s="15"/>
      <c r="H13" s="34">
        <v>373423.92</v>
      </c>
    </row>
    <row r="14" spans="1:8" ht="15.75" customHeight="1">
      <c r="A14" s="22">
        <v>3</v>
      </c>
      <c r="B14" s="199" t="s">
        <v>63</v>
      </c>
      <c r="C14" s="199"/>
      <c r="D14" s="199"/>
      <c r="E14" s="199"/>
      <c r="F14" s="199"/>
      <c r="G14" s="15"/>
      <c r="H14" s="35">
        <f>H10-H13</f>
        <v>-312.27999999996973</v>
      </c>
    </row>
    <row r="15" spans="1:8" ht="15.75" customHeight="1">
      <c r="A15" s="22">
        <v>4</v>
      </c>
      <c r="B15" s="200" t="s">
        <v>64</v>
      </c>
      <c r="C15" s="200"/>
      <c r="D15" s="200"/>
      <c r="E15" s="200"/>
      <c r="F15" s="200"/>
      <c r="G15" s="15"/>
      <c r="H15" s="36">
        <f>H9+H10-H13</f>
        <v>26622.21000000002</v>
      </c>
    </row>
    <row r="16" spans="1:8" ht="18.75">
      <c r="A16" s="22">
        <v>5</v>
      </c>
      <c r="B16" s="203" t="s">
        <v>68</v>
      </c>
      <c r="C16" s="203"/>
      <c r="D16" s="203"/>
      <c r="E16" s="203"/>
      <c r="F16" s="203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204" t="s">
        <v>18</v>
      </c>
      <c r="C18" s="204"/>
      <c r="D18" s="204"/>
      <c r="E18" s="6" t="s">
        <v>32</v>
      </c>
      <c r="F18" s="6" t="s">
        <v>24</v>
      </c>
      <c r="G18" s="12">
        <v>0.9</v>
      </c>
      <c r="H18" s="39">
        <f>ROUND(G18*$E$3*12,2)</f>
        <v>38787.12</v>
      </c>
    </row>
    <row r="19" spans="1:8" ht="15.75">
      <c r="A19" s="29" t="s">
        <v>42</v>
      </c>
      <c r="B19" s="204" t="s">
        <v>17</v>
      </c>
      <c r="C19" s="204"/>
      <c r="D19" s="204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11205.17</v>
      </c>
    </row>
    <row r="20" spans="1:8" ht="15.75">
      <c r="A20" s="28" t="s">
        <v>43</v>
      </c>
      <c r="B20" s="187" t="s">
        <v>23</v>
      </c>
      <c r="C20" s="187"/>
      <c r="D20" s="187"/>
      <c r="E20" s="7" t="s">
        <v>8</v>
      </c>
      <c r="F20" s="7" t="s">
        <v>20</v>
      </c>
      <c r="G20" s="12">
        <v>0.32</v>
      </c>
      <c r="H20" s="39">
        <f t="shared" si="0"/>
        <v>13790.98</v>
      </c>
    </row>
    <row r="21" spans="1:8" ht="33" customHeight="1">
      <c r="A21" s="29" t="s">
        <v>44</v>
      </c>
      <c r="B21" s="193" t="s">
        <v>31</v>
      </c>
      <c r="C21" s="193"/>
      <c r="D21" s="193"/>
      <c r="E21" s="8" t="s">
        <v>9</v>
      </c>
      <c r="F21" s="8" t="s">
        <v>10</v>
      </c>
      <c r="G21" s="12">
        <v>0.46</v>
      </c>
      <c r="H21" s="39">
        <f t="shared" si="0"/>
        <v>19824.53</v>
      </c>
    </row>
    <row r="22" spans="1:8" ht="63">
      <c r="A22" s="28" t="s">
        <v>47</v>
      </c>
      <c r="B22" s="187" t="s">
        <v>27</v>
      </c>
      <c r="C22" s="187"/>
      <c r="D22" s="187"/>
      <c r="E22" s="7" t="s">
        <v>34</v>
      </c>
      <c r="F22" s="7" t="s">
        <v>25</v>
      </c>
      <c r="G22" s="12">
        <v>0.11</v>
      </c>
      <c r="H22" s="39">
        <f t="shared" si="0"/>
        <v>4740.65</v>
      </c>
    </row>
    <row r="23" spans="1:8" ht="31.5">
      <c r="A23" s="29" t="s">
        <v>45</v>
      </c>
      <c r="B23" s="187" t="s">
        <v>11</v>
      </c>
      <c r="C23" s="187"/>
      <c r="D23" s="187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87" t="s">
        <v>26</v>
      </c>
      <c r="C24" s="188"/>
      <c r="D24" s="188"/>
      <c r="E24" s="9" t="s">
        <v>13</v>
      </c>
      <c r="F24" s="9" t="s">
        <v>14</v>
      </c>
      <c r="G24" s="12">
        <v>0.04</v>
      </c>
      <c r="H24" s="39">
        <f t="shared" si="0"/>
        <v>1723.87</v>
      </c>
    </row>
    <row r="25" spans="1:8" ht="35.25" customHeight="1">
      <c r="A25" s="29" t="s">
        <v>48</v>
      </c>
      <c r="B25" s="199" t="s">
        <v>76</v>
      </c>
      <c r="C25" s="199"/>
      <c r="D25" s="199"/>
      <c r="E25" s="45" t="s">
        <v>13</v>
      </c>
      <c r="F25" s="46" t="s">
        <v>74</v>
      </c>
      <c r="G25" s="47">
        <v>0.22</v>
      </c>
      <c r="H25" s="48">
        <f t="shared" si="0"/>
        <v>9481.3</v>
      </c>
    </row>
    <row r="26" spans="1:8" ht="31.5">
      <c r="A26" s="28" t="s">
        <v>77</v>
      </c>
      <c r="B26" s="187" t="s">
        <v>35</v>
      </c>
      <c r="C26" s="187"/>
      <c r="D26" s="187"/>
      <c r="E26" s="6" t="s">
        <v>36</v>
      </c>
      <c r="F26" s="7" t="s">
        <v>74</v>
      </c>
      <c r="G26" s="12">
        <v>2.5</v>
      </c>
      <c r="H26" s="39">
        <f t="shared" si="0"/>
        <v>107742</v>
      </c>
    </row>
    <row r="27" spans="1:8" ht="31.5">
      <c r="A27" s="29" t="s">
        <v>78</v>
      </c>
      <c r="B27" s="204" t="s">
        <v>15</v>
      </c>
      <c r="C27" s="204"/>
      <c r="D27" s="204"/>
      <c r="E27" s="6" t="s">
        <v>36</v>
      </c>
      <c r="F27" s="7" t="s">
        <v>74</v>
      </c>
      <c r="G27" s="12">
        <v>0.38</v>
      </c>
      <c r="H27" s="39">
        <f t="shared" si="0"/>
        <v>16376.78</v>
      </c>
    </row>
    <row r="28" spans="1:8" ht="31.5">
      <c r="A28" s="28" t="s">
        <v>79</v>
      </c>
      <c r="B28" s="205" t="s">
        <v>37</v>
      </c>
      <c r="C28" s="206"/>
      <c r="D28" s="206"/>
      <c r="E28" s="6" t="s">
        <v>36</v>
      </c>
      <c r="F28" s="7" t="s">
        <v>74</v>
      </c>
      <c r="G28" s="49">
        <f>1.82-G29-G30</f>
        <v>1.82</v>
      </c>
      <c r="H28" s="39">
        <f t="shared" si="0"/>
        <v>78436.18</v>
      </c>
    </row>
    <row r="29" spans="1:8" ht="31.5">
      <c r="A29" s="29" t="s">
        <v>80</v>
      </c>
      <c r="B29" s="187" t="s">
        <v>28</v>
      </c>
      <c r="C29" s="187"/>
      <c r="D29" s="187"/>
      <c r="E29" s="6" t="s">
        <v>36</v>
      </c>
      <c r="F29" s="7" t="s">
        <v>74</v>
      </c>
      <c r="G29" s="13">
        <v>0</v>
      </c>
      <c r="H29" s="39">
        <f t="shared" si="0"/>
        <v>0</v>
      </c>
    </row>
    <row r="30" spans="1:8" ht="31.5">
      <c r="A30" s="28" t="s">
        <v>81</v>
      </c>
      <c r="B30" s="187" t="s">
        <v>29</v>
      </c>
      <c r="C30" s="187"/>
      <c r="D30" s="187"/>
      <c r="E30" s="6" t="s">
        <v>36</v>
      </c>
      <c r="F30" s="7" t="s">
        <v>74</v>
      </c>
      <c r="G30" s="13">
        <v>0</v>
      </c>
      <c r="H30" s="39">
        <f t="shared" si="0"/>
        <v>0</v>
      </c>
    </row>
    <row r="31" spans="1:8" ht="31.5">
      <c r="A31" s="29" t="s">
        <v>49</v>
      </c>
      <c r="B31" s="188" t="s">
        <v>21</v>
      </c>
      <c r="C31" s="188"/>
      <c r="D31" s="188"/>
      <c r="E31" s="6" t="s">
        <v>36</v>
      </c>
      <c r="F31" s="7" t="s">
        <v>74</v>
      </c>
      <c r="G31" s="9">
        <v>0.88</v>
      </c>
      <c r="H31" s="39">
        <f t="shared" si="0"/>
        <v>37925.18</v>
      </c>
    </row>
    <row r="32" spans="1:8" ht="15.75">
      <c r="A32" s="22" t="s">
        <v>82</v>
      </c>
      <c r="B32" s="211" t="s">
        <v>30</v>
      </c>
      <c r="C32" s="211"/>
      <c r="D32" s="211"/>
      <c r="E32" s="14"/>
      <c r="F32" s="7"/>
      <c r="G32" s="20">
        <f>SUM(G18:G31)</f>
        <v>7.890000000000001</v>
      </c>
      <c r="H32" s="40">
        <f>SUM(H18:H31)</f>
        <v>340033.75999999995</v>
      </c>
    </row>
    <row r="33" spans="1:8" ht="15.75">
      <c r="A33" s="22" t="s">
        <v>50</v>
      </c>
      <c r="B33" s="200" t="s">
        <v>38</v>
      </c>
      <c r="C33" s="188"/>
      <c r="D33" s="188"/>
      <c r="E33" s="14"/>
      <c r="F33" s="7" t="s">
        <v>74</v>
      </c>
      <c r="G33" s="23">
        <f>H33/E3/12</f>
        <v>2.40853149189731</v>
      </c>
      <c r="H33" s="24">
        <v>103800</v>
      </c>
    </row>
    <row r="34" spans="1:8" ht="18.75">
      <c r="A34" s="25" t="s">
        <v>51</v>
      </c>
      <c r="B34" s="210" t="s">
        <v>70</v>
      </c>
      <c r="C34" s="210"/>
      <c r="D34" s="210"/>
      <c r="E34" s="210"/>
      <c r="F34" s="210"/>
      <c r="G34" s="20">
        <f>SUM(G32:G33)</f>
        <v>10.298531491897311</v>
      </c>
      <c r="H34" s="41">
        <f>SUM(H32:H33)</f>
        <v>443833.75999999995</v>
      </c>
    </row>
    <row r="35" spans="1:8" ht="15.75" customHeight="1">
      <c r="A35" s="22" t="s">
        <v>56</v>
      </c>
      <c r="B35" s="207" t="s">
        <v>39</v>
      </c>
      <c r="C35" s="208"/>
      <c r="D35" s="208"/>
      <c r="E35" s="208"/>
      <c r="F35" s="208"/>
      <c r="G35" s="209"/>
      <c r="H35" s="31"/>
    </row>
    <row r="36" spans="1:8" ht="15.75" customHeight="1">
      <c r="A36" s="22" t="s">
        <v>52</v>
      </c>
      <c r="B36" s="213" t="s">
        <v>65</v>
      </c>
      <c r="C36" s="214"/>
      <c r="D36" s="214"/>
      <c r="E36" s="214"/>
      <c r="F36" s="214"/>
      <c r="G36" s="215"/>
      <c r="H36" s="32">
        <v>-56700.69</v>
      </c>
    </row>
    <row r="37" spans="1:8" ht="15.75" customHeight="1">
      <c r="A37" s="22" t="s">
        <v>53</v>
      </c>
      <c r="B37" s="213" t="s">
        <v>66</v>
      </c>
      <c r="C37" s="214"/>
      <c r="D37" s="214"/>
      <c r="E37" s="214"/>
      <c r="F37" s="214"/>
      <c r="G37" s="215"/>
      <c r="H37" s="42">
        <f>H13-H34</f>
        <v>-70409.83999999997</v>
      </c>
    </row>
    <row r="38" spans="1:8" ht="19.5" customHeight="1">
      <c r="A38" s="22" t="s">
        <v>54</v>
      </c>
      <c r="B38" s="213" t="s">
        <v>67</v>
      </c>
      <c r="C38" s="214"/>
      <c r="D38" s="214"/>
      <c r="E38" s="214"/>
      <c r="F38" s="214"/>
      <c r="G38" s="215"/>
      <c r="H38" s="42">
        <f>H36+H37</f>
        <v>-127110.52999999997</v>
      </c>
    </row>
    <row r="39" spans="2:6" ht="15.75">
      <c r="B39" s="33"/>
      <c r="F39" s="33"/>
    </row>
    <row r="40" spans="2:6" ht="15.75" customHeight="1">
      <c r="B40" s="33"/>
      <c r="C40" s="33"/>
      <c r="D40" s="33"/>
      <c r="E40" s="33"/>
      <c r="F40" s="33"/>
    </row>
    <row r="41" spans="1:8" ht="15.75">
      <c r="A41" s="212" t="s">
        <v>71</v>
      </c>
      <c r="B41" s="212"/>
      <c r="C41" s="212"/>
      <c r="D41" s="212"/>
      <c r="E41" s="212"/>
      <c r="F41" s="212"/>
      <c r="G41" s="212"/>
      <c r="H41" s="212"/>
    </row>
    <row r="42" spans="1:3" ht="15.75">
      <c r="A42" s="33"/>
      <c r="B42" s="33"/>
      <c r="C42" s="33"/>
    </row>
    <row r="43" spans="1:3" ht="15.75">
      <c r="A43" s="43" t="s">
        <v>72</v>
      </c>
      <c r="B43" s="43"/>
      <c r="C43" s="43"/>
    </row>
    <row r="44" spans="1:7" ht="15.75" customHeight="1">
      <c r="A44" s="216" t="s">
        <v>86</v>
      </c>
      <c r="B44" s="216"/>
      <c r="C44" s="216"/>
      <c r="D44" s="216"/>
      <c r="E44" s="216"/>
      <c r="F44" s="216"/>
      <c r="G44" s="216"/>
    </row>
    <row r="45" spans="1:3" ht="15.75">
      <c r="A45" s="194" t="s">
        <v>75</v>
      </c>
      <c r="B45" s="194"/>
      <c r="C45" s="194"/>
    </row>
  </sheetData>
  <sheetProtection/>
  <mergeCells count="36">
    <mergeCell ref="A41:H41"/>
    <mergeCell ref="A45:C45"/>
    <mergeCell ref="B36:G36"/>
    <mergeCell ref="B37:G37"/>
    <mergeCell ref="B38:G38"/>
    <mergeCell ref="A44:G44"/>
    <mergeCell ref="B25:D25"/>
    <mergeCell ref="B35:G35"/>
    <mergeCell ref="B33:D33"/>
    <mergeCell ref="B34:F34"/>
    <mergeCell ref="B31:D31"/>
    <mergeCell ref="B32:D32"/>
    <mergeCell ref="B26:D26"/>
    <mergeCell ref="A1:H1"/>
    <mergeCell ref="A2:H2"/>
    <mergeCell ref="B29:D29"/>
    <mergeCell ref="B30:D30"/>
    <mergeCell ref="B16:F16"/>
    <mergeCell ref="B18:D18"/>
    <mergeCell ref="B19:D19"/>
    <mergeCell ref="B20:D20"/>
    <mergeCell ref="B27:D27"/>
    <mergeCell ref="B28:D28"/>
    <mergeCell ref="B21:D21"/>
    <mergeCell ref="B22:D22"/>
    <mergeCell ref="B23:D23"/>
    <mergeCell ref="B24:D24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7">
      <selection activeCell="H25" sqref="H2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9.875" style="0" customWidth="1"/>
    <col min="6" max="6" width="0.12890625" style="0" hidden="1" customWidth="1"/>
    <col min="7" max="7" width="8.375" style="0" hidden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5" t="s">
        <v>207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54" customHeight="1">
      <c r="A2" s="217" t="s">
        <v>208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9" ht="18.75">
      <c r="A3" s="1" t="s">
        <v>139</v>
      </c>
      <c r="B3" s="1" t="s">
        <v>84</v>
      </c>
      <c r="C3" s="2"/>
      <c r="D3" s="2" t="s">
        <v>0</v>
      </c>
      <c r="E3" s="26">
        <v>3591.4</v>
      </c>
      <c r="F3" s="2"/>
      <c r="H3" s="86"/>
      <c r="I3" s="86"/>
    </row>
    <row r="4" spans="2:8" ht="15.75">
      <c r="B4" s="3" t="s">
        <v>1</v>
      </c>
      <c r="C4" s="44">
        <v>5</v>
      </c>
      <c r="D4" s="2" t="s">
        <v>2</v>
      </c>
      <c r="E4" s="27">
        <v>80</v>
      </c>
      <c r="F4" s="2"/>
      <c r="H4" t="s">
        <v>99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141</v>
      </c>
    </row>
    <row r="7" spans="1:10" ht="39" customHeight="1">
      <c r="A7" s="21" t="s">
        <v>55</v>
      </c>
      <c r="B7" s="218" t="s">
        <v>142</v>
      </c>
      <c r="C7" s="219"/>
      <c r="D7" s="220"/>
      <c r="E7" s="11" t="s">
        <v>6</v>
      </c>
      <c r="F7" s="11" t="s">
        <v>7</v>
      </c>
      <c r="G7" s="87" t="s">
        <v>22</v>
      </c>
      <c r="H7" s="221" t="s">
        <v>143</v>
      </c>
      <c r="I7" s="222"/>
      <c r="J7" s="223"/>
    </row>
    <row r="8" spans="1:10" ht="15.75">
      <c r="A8" s="22">
        <v>1</v>
      </c>
      <c r="B8" s="202"/>
      <c r="C8" s="191"/>
      <c r="D8" s="191"/>
      <c r="E8" s="191"/>
      <c r="F8" s="192"/>
      <c r="G8" s="88"/>
      <c r="H8" s="89" t="s">
        <v>144</v>
      </c>
      <c r="I8" s="90" t="s">
        <v>145</v>
      </c>
      <c r="J8" s="90" t="s">
        <v>146</v>
      </c>
    </row>
    <row r="9" spans="1:10" ht="15.75">
      <c r="A9" s="22"/>
      <c r="B9" s="202" t="s">
        <v>147</v>
      </c>
      <c r="C9" s="191"/>
      <c r="D9" s="191"/>
      <c r="E9" s="191"/>
      <c r="F9" s="192"/>
      <c r="G9" s="91"/>
      <c r="H9" s="91"/>
      <c r="I9" s="57"/>
      <c r="J9" s="90"/>
    </row>
    <row r="10" spans="1:10" ht="15.75" customHeight="1">
      <c r="A10" s="92"/>
      <c r="B10" s="199" t="s">
        <v>148</v>
      </c>
      <c r="C10" s="199"/>
      <c r="D10" s="199"/>
      <c r="E10" s="199"/>
      <c r="F10" s="199"/>
      <c r="G10" s="15"/>
      <c r="H10" s="117">
        <v>379262.38</v>
      </c>
      <c r="I10" s="119"/>
      <c r="J10" s="117">
        <f>H10+I10</f>
        <v>379262.38</v>
      </c>
    </row>
    <row r="11" spans="1:10" ht="15.75" customHeight="1">
      <c r="A11" s="92"/>
      <c r="B11" s="199" t="s">
        <v>149</v>
      </c>
      <c r="C11" s="199"/>
      <c r="D11" s="199"/>
      <c r="E11" s="199"/>
      <c r="F11" s="199"/>
      <c r="G11" s="15"/>
      <c r="H11" s="117">
        <v>24757.56</v>
      </c>
      <c r="I11" s="119"/>
      <c r="J11" s="117">
        <f>H11+I11</f>
        <v>24757.56</v>
      </c>
    </row>
    <row r="12" spans="1:10" ht="15.75" customHeight="1">
      <c r="A12" s="22"/>
      <c r="B12" s="199" t="s">
        <v>150</v>
      </c>
      <c r="C12" s="199"/>
      <c r="D12" s="199"/>
      <c r="E12" s="199"/>
      <c r="F12" s="199"/>
      <c r="G12" s="15"/>
      <c r="H12" s="117"/>
      <c r="I12" s="119">
        <v>0</v>
      </c>
      <c r="J12" s="117">
        <f>H12+I12</f>
        <v>0</v>
      </c>
    </row>
    <row r="13" spans="1:10" ht="15.75">
      <c r="A13" s="22"/>
      <c r="B13" s="199" t="s">
        <v>151</v>
      </c>
      <c r="C13" s="199"/>
      <c r="D13" s="199"/>
      <c r="E13" s="199"/>
      <c r="F13" s="199"/>
      <c r="G13" s="15"/>
      <c r="H13" s="119">
        <v>0</v>
      </c>
      <c r="I13" s="119"/>
      <c r="J13" s="117">
        <f>H13+I13</f>
        <v>0</v>
      </c>
    </row>
    <row r="14" spans="1:10" ht="15.75" customHeight="1">
      <c r="A14" s="22"/>
      <c r="B14" s="200" t="s">
        <v>152</v>
      </c>
      <c r="C14" s="200"/>
      <c r="D14" s="200"/>
      <c r="E14" s="200"/>
      <c r="F14" s="200"/>
      <c r="G14" s="15"/>
      <c r="H14" s="124">
        <f>SUM(H10:H13)</f>
        <v>404019.94</v>
      </c>
      <c r="I14" s="121">
        <f>SUM(I10:I12)</f>
        <v>0</v>
      </c>
      <c r="J14" s="124">
        <f>SUM(J10:J13)</f>
        <v>404019.94</v>
      </c>
    </row>
    <row r="15" spans="1:10" ht="18.75" customHeight="1">
      <c r="A15" s="22">
        <v>2</v>
      </c>
      <c r="B15" s="203" t="s">
        <v>68</v>
      </c>
      <c r="C15" s="203"/>
      <c r="D15" s="203"/>
      <c r="E15" s="203"/>
      <c r="F15" s="203"/>
      <c r="G15" s="15"/>
      <c r="H15" s="125"/>
      <c r="I15" s="126"/>
      <c r="J15" s="127"/>
    </row>
    <row r="16" spans="1:10" ht="15.75">
      <c r="A16" s="22" t="s">
        <v>135</v>
      </c>
      <c r="B16" s="18" t="s">
        <v>69</v>
      </c>
      <c r="C16" s="18"/>
      <c r="D16" s="18"/>
      <c r="E16" s="18"/>
      <c r="F16" s="5"/>
      <c r="G16" s="89"/>
      <c r="H16" s="118"/>
      <c r="I16" s="128"/>
      <c r="J16" s="129"/>
    </row>
    <row r="17" spans="1:10" ht="33.75" customHeight="1">
      <c r="A17" s="94"/>
      <c r="B17" s="225" t="s">
        <v>212</v>
      </c>
      <c r="C17" s="225"/>
      <c r="D17" s="225"/>
      <c r="E17" s="95" t="s">
        <v>32</v>
      </c>
      <c r="F17" s="82" t="s">
        <v>24</v>
      </c>
      <c r="G17" s="47">
        <v>0.92</v>
      </c>
      <c r="H17" s="130">
        <f>ROUND(G17*$E$3*12,2)</f>
        <v>39649.06</v>
      </c>
      <c r="I17" s="131">
        <f>$I$12*0.08</f>
        <v>0</v>
      </c>
      <c r="J17" s="132">
        <f>SUM(H17:I17)</f>
        <v>39649.06</v>
      </c>
    </row>
    <row r="18" spans="1:10" ht="17.25" customHeight="1">
      <c r="A18" s="22"/>
      <c r="B18" s="226" t="s">
        <v>17</v>
      </c>
      <c r="C18" s="226"/>
      <c r="D18" s="226"/>
      <c r="E18" s="95" t="s">
        <v>32</v>
      </c>
      <c r="F18" s="82" t="s">
        <v>19</v>
      </c>
      <c r="G18" s="47">
        <v>0.26</v>
      </c>
      <c r="H18" s="130">
        <f>ROUND(G18*$E$3*12,2)</f>
        <v>11205.17</v>
      </c>
      <c r="I18" s="131">
        <f>$I$12*0.02</f>
        <v>0</v>
      </c>
      <c r="J18" s="132">
        <f aca="true" t="shared" si="0" ref="J18:J37">SUM(H18:I18)</f>
        <v>11205.17</v>
      </c>
    </row>
    <row r="19" spans="1:10" ht="20.25" customHeight="1">
      <c r="A19" s="22"/>
      <c r="B19" s="224" t="s">
        <v>23</v>
      </c>
      <c r="C19" s="224"/>
      <c r="D19" s="224"/>
      <c r="E19" s="96" t="s">
        <v>153</v>
      </c>
      <c r="F19" s="46" t="s">
        <v>20</v>
      </c>
      <c r="G19" s="47">
        <v>0.35</v>
      </c>
      <c r="H19" s="130">
        <f>J19-I19</f>
        <v>10840.39</v>
      </c>
      <c r="I19" s="131">
        <f>$I$12*0.07</f>
        <v>0</v>
      </c>
      <c r="J19" s="132">
        <v>10840.39</v>
      </c>
    </row>
    <row r="20" spans="1:10" ht="20.25" customHeight="1">
      <c r="A20" s="94"/>
      <c r="B20" s="225" t="s">
        <v>31</v>
      </c>
      <c r="C20" s="225"/>
      <c r="D20" s="225"/>
      <c r="E20" s="97" t="s">
        <v>9</v>
      </c>
      <c r="F20" s="83" t="s">
        <v>10</v>
      </c>
      <c r="G20" s="47">
        <v>0.46</v>
      </c>
      <c r="H20" s="130">
        <f>ROUND(G20*$E$3*12,2)</f>
        <v>19824.53</v>
      </c>
      <c r="I20" s="131">
        <f>$I$12*0.04</f>
        <v>0</v>
      </c>
      <c r="J20" s="132">
        <f t="shared" si="0"/>
        <v>19824.53</v>
      </c>
    </row>
    <row r="21" spans="1:10" ht="49.5" customHeight="1">
      <c r="A21" s="22"/>
      <c r="B21" s="224" t="s">
        <v>27</v>
      </c>
      <c r="C21" s="224"/>
      <c r="D21" s="224"/>
      <c r="E21" s="96" t="s">
        <v>154</v>
      </c>
      <c r="F21" s="46" t="s">
        <v>25</v>
      </c>
      <c r="G21" s="47">
        <v>0.11</v>
      </c>
      <c r="H21" s="130">
        <f>J21-I21</f>
        <v>7392.02</v>
      </c>
      <c r="I21" s="131">
        <f>$I$12*0.01</f>
        <v>0</v>
      </c>
      <c r="J21" s="132">
        <v>7392.02</v>
      </c>
    </row>
    <row r="22" spans="1:10" ht="20.25" customHeight="1">
      <c r="A22" s="94"/>
      <c r="B22" s="224" t="s">
        <v>11</v>
      </c>
      <c r="C22" s="224"/>
      <c r="D22" s="224"/>
      <c r="E22" s="96" t="s">
        <v>9</v>
      </c>
      <c r="F22" s="46" t="s">
        <v>12</v>
      </c>
      <c r="G22" s="47">
        <v>0</v>
      </c>
      <c r="H22" s="130">
        <f>J22-I22</f>
        <v>0</v>
      </c>
      <c r="I22" s="131">
        <f>$I$12*0.15</f>
        <v>0</v>
      </c>
      <c r="J22" s="132">
        <f>G22*E3*12</f>
        <v>0</v>
      </c>
    </row>
    <row r="23" spans="1:10" ht="20.25" customHeight="1">
      <c r="A23" s="94"/>
      <c r="B23" s="224" t="s">
        <v>26</v>
      </c>
      <c r="C23" s="230"/>
      <c r="D23" s="230"/>
      <c r="E23" s="98" t="s">
        <v>13</v>
      </c>
      <c r="F23" s="45" t="s">
        <v>14</v>
      </c>
      <c r="G23" s="47">
        <v>0.04</v>
      </c>
      <c r="H23" s="130">
        <f>J23-I23</f>
        <v>3014.09</v>
      </c>
      <c r="I23" s="131">
        <f>$I$12*0.003</f>
        <v>0</v>
      </c>
      <c r="J23" s="132">
        <v>3014.09</v>
      </c>
    </row>
    <row r="24" spans="1:10" ht="28.5" customHeight="1">
      <c r="A24" s="22"/>
      <c r="B24" s="224" t="s">
        <v>155</v>
      </c>
      <c r="C24" s="224"/>
      <c r="D24" s="224"/>
      <c r="E24" s="95" t="s">
        <v>36</v>
      </c>
      <c r="F24" s="99" t="s">
        <v>156</v>
      </c>
      <c r="G24" s="47">
        <v>1.87</v>
      </c>
      <c r="H24" s="130">
        <f aca="true" t="shared" si="1" ref="H24:H29">ROUND(G24*$E$3*12,2)</f>
        <v>80591.02</v>
      </c>
      <c r="I24" s="131">
        <f>$I$12*0.19</f>
        <v>0</v>
      </c>
      <c r="J24" s="132">
        <f t="shared" si="0"/>
        <v>80591.02</v>
      </c>
    </row>
    <row r="25" spans="1:10" ht="26.25" customHeight="1">
      <c r="A25" s="22"/>
      <c r="B25" s="226" t="s">
        <v>15</v>
      </c>
      <c r="C25" s="226"/>
      <c r="D25" s="226"/>
      <c r="E25" s="95" t="s">
        <v>36</v>
      </c>
      <c r="F25" s="99" t="s">
        <v>156</v>
      </c>
      <c r="G25" s="47">
        <v>0.38</v>
      </c>
      <c r="H25" s="130">
        <f t="shared" si="1"/>
        <v>16376.78</v>
      </c>
      <c r="I25" s="131">
        <v>0</v>
      </c>
      <c r="J25" s="132">
        <f t="shared" si="0"/>
        <v>16376.78</v>
      </c>
    </row>
    <row r="26" spans="1:10" ht="30" customHeight="1">
      <c r="A26" s="22"/>
      <c r="B26" s="231" t="s">
        <v>37</v>
      </c>
      <c r="C26" s="228"/>
      <c r="D26" s="229"/>
      <c r="E26" s="95" t="s">
        <v>36</v>
      </c>
      <c r="F26" s="99" t="s">
        <v>156</v>
      </c>
      <c r="G26" s="49">
        <f>2.97-G27-G28</f>
        <v>2.97</v>
      </c>
      <c r="H26" s="130">
        <f t="shared" si="1"/>
        <v>127997.5</v>
      </c>
      <c r="I26" s="131">
        <f>$I$12*(0.18+0.02)</f>
        <v>0</v>
      </c>
      <c r="J26" s="132">
        <f t="shared" si="0"/>
        <v>127997.5</v>
      </c>
    </row>
    <row r="27" spans="1:10" ht="26.25" customHeight="1">
      <c r="A27" s="94"/>
      <c r="B27" s="224" t="s">
        <v>157</v>
      </c>
      <c r="C27" s="224"/>
      <c r="D27" s="224"/>
      <c r="E27" s="95" t="s">
        <v>36</v>
      </c>
      <c r="F27" s="99" t="s">
        <v>156</v>
      </c>
      <c r="G27" s="49">
        <v>0</v>
      </c>
      <c r="H27" s="130">
        <f t="shared" si="1"/>
        <v>0</v>
      </c>
      <c r="I27" s="131">
        <f>$I$12*0.02</f>
        <v>0</v>
      </c>
      <c r="J27" s="132">
        <f t="shared" si="0"/>
        <v>0</v>
      </c>
    </row>
    <row r="28" spans="1:10" ht="17.25" customHeight="1">
      <c r="A28" s="22"/>
      <c r="B28" s="224" t="s">
        <v>158</v>
      </c>
      <c r="C28" s="224"/>
      <c r="D28" s="224"/>
      <c r="E28" s="96" t="s">
        <v>9</v>
      </c>
      <c r="F28" s="99" t="s">
        <v>156</v>
      </c>
      <c r="G28" s="49">
        <v>0</v>
      </c>
      <c r="H28" s="130">
        <f t="shared" si="1"/>
        <v>0</v>
      </c>
      <c r="I28" s="131">
        <f>$I$12*0.02</f>
        <v>0</v>
      </c>
      <c r="J28" s="132">
        <f t="shared" si="0"/>
        <v>0</v>
      </c>
    </row>
    <row r="29" spans="1:10" ht="17.25" customHeight="1">
      <c r="A29" s="22"/>
      <c r="B29" s="230" t="s">
        <v>21</v>
      </c>
      <c r="C29" s="230"/>
      <c r="D29" s="230"/>
      <c r="E29" s="96" t="s">
        <v>9</v>
      </c>
      <c r="F29" s="99" t="s">
        <v>156</v>
      </c>
      <c r="G29" s="45">
        <v>0.92</v>
      </c>
      <c r="H29" s="130">
        <f t="shared" si="1"/>
        <v>39649.06</v>
      </c>
      <c r="I29" s="131">
        <f>$I$12*0.1</f>
        <v>0</v>
      </c>
      <c r="J29" s="132">
        <f t="shared" si="0"/>
        <v>39649.06</v>
      </c>
    </row>
    <row r="30" spans="1:10" ht="21.75" customHeight="1">
      <c r="A30" s="22"/>
      <c r="B30" s="232" t="s">
        <v>159</v>
      </c>
      <c r="C30" s="233"/>
      <c r="D30" s="234"/>
      <c r="E30" s="96" t="s">
        <v>9</v>
      </c>
      <c r="F30" s="99"/>
      <c r="G30" s="45"/>
      <c r="H30" s="130"/>
      <c r="I30" s="131"/>
      <c r="J30" s="133"/>
    </row>
    <row r="31" spans="1:10" ht="27.75" customHeight="1">
      <c r="A31" s="22"/>
      <c r="B31" s="232" t="s">
        <v>160</v>
      </c>
      <c r="C31" s="233"/>
      <c r="D31" s="234"/>
      <c r="E31" s="95" t="s">
        <v>36</v>
      </c>
      <c r="F31" s="99"/>
      <c r="G31" s="45"/>
      <c r="H31" s="130"/>
      <c r="I31" s="131"/>
      <c r="J31" s="133"/>
    </row>
    <row r="32" spans="1:10" ht="15.75">
      <c r="A32" s="22"/>
      <c r="B32" s="227"/>
      <c r="C32" s="228"/>
      <c r="D32" s="229"/>
      <c r="E32" s="96"/>
      <c r="F32" s="99"/>
      <c r="G32" s="45"/>
      <c r="H32" s="130"/>
      <c r="I32" s="131"/>
      <c r="J32" s="133"/>
    </row>
    <row r="33" spans="1:10" ht="15.75">
      <c r="A33" s="22"/>
      <c r="B33" s="227"/>
      <c r="C33" s="228"/>
      <c r="D33" s="229"/>
      <c r="E33" s="96"/>
      <c r="F33" s="99"/>
      <c r="G33" s="45"/>
      <c r="H33" s="130"/>
      <c r="I33" s="131"/>
      <c r="J33" s="133"/>
    </row>
    <row r="34" spans="1:10" ht="15.75">
      <c r="A34" s="22"/>
      <c r="B34" s="211" t="s">
        <v>30</v>
      </c>
      <c r="C34" s="211"/>
      <c r="D34" s="211"/>
      <c r="E34" s="14"/>
      <c r="F34" s="99"/>
      <c r="G34" s="20">
        <f>SUM(G17:G29)</f>
        <v>8.28</v>
      </c>
      <c r="H34" s="120">
        <f>SUM(H17:H33)</f>
        <v>356539.62</v>
      </c>
      <c r="I34" s="121">
        <f>SUM(I17:I33)</f>
        <v>0</v>
      </c>
      <c r="J34" s="120">
        <f>SUM(J17:J33)</f>
        <v>356539.62</v>
      </c>
    </row>
    <row r="35" spans="1:10" ht="15" customHeight="1">
      <c r="A35" s="22" t="s">
        <v>137</v>
      </c>
      <c r="B35" s="235" t="s">
        <v>161</v>
      </c>
      <c r="C35" s="236"/>
      <c r="D35" s="236"/>
      <c r="E35" s="237"/>
      <c r="F35" s="99" t="s">
        <v>156</v>
      </c>
      <c r="G35" s="23">
        <f>H35/E3/12</f>
        <v>3.622774776781571</v>
      </c>
      <c r="H35" s="121">
        <v>156130</v>
      </c>
      <c r="I35" s="132">
        <v>0</v>
      </c>
      <c r="J35" s="124">
        <f t="shared" si="0"/>
        <v>156130</v>
      </c>
    </row>
    <row r="36" spans="1:10" ht="14.25" customHeight="1">
      <c r="A36" s="25"/>
      <c r="B36" s="238" t="s">
        <v>70</v>
      </c>
      <c r="C36" s="238"/>
      <c r="D36" s="238"/>
      <c r="E36" s="238"/>
      <c r="F36" s="238"/>
      <c r="G36" s="20">
        <f>SUM(G34:G35)</f>
        <v>11.90277477678157</v>
      </c>
      <c r="H36" s="122">
        <f>SUM(H34:H35)</f>
        <v>512669.62</v>
      </c>
      <c r="I36" s="123">
        <f>SUM(I34:I35)</f>
        <v>0</v>
      </c>
      <c r="J36" s="122">
        <f>SUM(J34:J35)</f>
        <v>512669.62</v>
      </c>
    </row>
    <row r="37" spans="1:10" ht="15.75">
      <c r="A37" s="22" t="s">
        <v>138</v>
      </c>
      <c r="B37" s="239" t="s">
        <v>162</v>
      </c>
      <c r="C37" s="239"/>
      <c r="D37" s="239"/>
      <c r="E37" s="239"/>
      <c r="F37" s="239"/>
      <c r="G37" s="23"/>
      <c r="H37" s="123">
        <v>0</v>
      </c>
      <c r="I37" s="123">
        <v>0</v>
      </c>
      <c r="J37" s="133">
        <f t="shared" si="0"/>
        <v>0</v>
      </c>
    </row>
    <row r="38" spans="1:10" ht="24.75" customHeight="1">
      <c r="A38" s="25"/>
      <c r="B38" s="238" t="s">
        <v>163</v>
      </c>
      <c r="C38" s="238"/>
      <c r="D38" s="238"/>
      <c r="E38" s="238"/>
      <c r="F38" s="238"/>
      <c r="G38" s="20">
        <f>SUM(G36:G37)</f>
        <v>11.90277477678157</v>
      </c>
      <c r="H38" s="122">
        <f>SUM(H36:H37)</f>
        <v>512669.62</v>
      </c>
      <c r="I38" s="123">
        <f>SUM(I36:I37)</f>
        <v>0</v>
      </c>
      <c r="J38" s="122">
        <f>SUM(J36:J37)</f>
        <v>512669.62</v>
      </c>
    </row>
    <row r="39" spans="1:10" ht="27" customHeight="1">
      <c r="A39" s="22">
        <v>3</v>
      </c>
      <c r="B39" s="213" t="s">
        <v>164</v>
      </c>
      <c r="C39" s="214"/>
      <c r="D39" s="214"/>
      <c r="E39" s="214"/>
      <c r="F39" s="214"/>
      <c r="G39" s="215"/>
      <c r="H39" s="130">
        <f>H14-H38</f>
        <v>-108649.68</v>
      </c>
      <c r="I39" s="130">
        <f>I14-I38</f>
        <v>0</v>
      </c>
      <c r="J39" s="121">
        <f>J14-J38</f>
        <v>-108649.68</v>
      </c>
    </row>
    <row r="40" spans="2:6" ht="15.75">
      <c r="B40" s="33"/>
      <c r="F40" s="33"/>
    </row>
    <row r="41" spans="2:9" ht="36" customHeight="1">
      <c r="B41" s="212" t="s">
        <v>165</v>
      </c>
      <c r="C41" s="212"/>
      <c r="D41" s="212"/>
      <c r="E41" s="212"/>
      <c r="F41" s="212"/>
      <c r="G41" s="212"/>
      <c r="H41" s="212"/>
      <c r="I41" s="212"/>
    </row>
    <row r="42" spans="2:4" ht="25.5" customHeight="1">
      <c r="B42" s="33"/>
      <c r="C42" s="33"/>
      <c r="D42" s="33"/>
    </row>
    <row r="43" spans="2:4" ht="15.75">
      <c r="B43" s="43" t="s">
        <v>72</v>
      </c>
      <c r="C43" s="43"/>
      <c r="D43" s="43"/>
    </row>
    <row r="44" spans="2:9" ht="34.5" customHeight="1">
      <c r="B44" s="216" t="s">
        <v>209</v>
      </c>
      <c r="C44" s="216"/>
      <c r="D44" s="216"/>
      <c r="E44" s="216"/>
      <c r="F44" s="216"/>
      <c r="G44" s="216"/>
      <c r="H44" s="216"/>
      <c r="I44" s="33"/>
    </row>
    <row r="45" spans="2:4" ht="15.75" customHeight="1">
      <c r="B45" s="194" t="s">
        <v>75</v>
      </c>
      <c r="C45" s="194"/>
      <c r="D45" s="194"/>
    </row>
  </sheetData>
  <sheetProtection/>
  <mergeCells count="38">
    <mergeCell ref="B35:E35"/>
    <mergeCell ref="B36:F36"/>
    <mergeCell ref="B45:D45"/>
    <mergeCell ref="B44:H44"/>
    <mergeCell ref="B37:F37"/>
    <mergeCell ref="B38:F38"/>
    <mergeCell ref="B39:G39"/>
    <mergeCell ref="B41:I41"/>
    <mergeCell ref="B29:D29"/>
    <mergeCell ref="B30:D30"/>
    <mergeCell ref="B31:D31"/>
    <mergeCell ref="B32:D32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625" style="0" customWidth="1"/>
    <col min="6" max="6" width="9.25390625" style="0" hidden="1" customWidth="1"/>
    <col min="7" max="7" width="6.12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5" t="s">
        <v>211</v>
      </c>
      <c r="B1" s="195"/>
      <c r="C1" s="195"/>
      <c r="D1" s="195"/>
      <c r="E1" s="195"/>
      <c r="F1" s="195"/>
      <c r="G1" s="195"/>
      <c r="H1" s="195"/>
    </row>
    <row r="2" spans="1:6" ht="18.75">
      <c r="A2" s="1" t="s">
        <v>139</v>
      </c>
      <c r="B2" s="1" t="s">
        <v>84</v>
      </c>
      <c r="C2" s="2"/>
      <c r="D2" s="2" t="s">
        <v>0</v>
      </c>
      <c r="E2" s="26">
        <v>3591.4</v>
      </c>
      <c r="F2" s="2"/>
    </row>
    <row r="3" spans="2:6" ht="15.75">
      <c r="B3" s="3" t="s">
        <v>1</v>
      </c>
      <c r="C3" s="44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6" customHeight="1">
      <c r="A6" s="77" t="s">
        <v>55</v>
      </c>
      <c r="B6" s="245" t="s">
        <v>142</v>
      </c>
      <c r="C6" s="246"/>
      <c r="D6" s="247"/>
      <c r="E6" s="78" t="s">
        <v>6</v>
      </c>
      <c r="F6" s="78" t="s">
        <v>7</v>
      </c>
      <c r="G6" s="102" t="s">
        <v>196</v>
      </c>
      <c r="H6" s="103" t="s">
        <v>132</v>
      </c>
    </row>
    <row r="7" spans="1:8" ht="15.75" customHeight="1">
      <c r="A7" s="79">
        <v>1</v>
      </c>
      <c r="B7" s="248" t="s">
        <v>133</v>
      </c>
      <c r="C7" s="248"/>
      <c r="D7" s="248"/>
      <c r="E7" s="248"/>
      <c r="F7" s="248"/>
      <c r="G7" s="80"/>
      <c r="H7" s="104"/>
    </row>
    <row r="8" spans="1:8" ht="33.75" customHeight="1">
      <c r="A8" s="79"/>
      <c r="B8" s="200" t="s">
        <v>197</v>
      </c>
      <c r="C8" s="200"/>
      <c r="D8" s="200"/>
      <c r="E8" s="200"/>
      <c r="F8" s="200"/>
      <c r="G8" s="23">
        <f>G30</f>
        <v>10.580000000000002</v>
      </c>
      <c r="H8" s="81">
        <f>ROUND(E2*G8*12,2)</f>
        <v>455964.14</v>
      </c>
    </row>
    <row r="9" spans="1:8" ht="15.75" customHeight="1">
      <c r="A9" s="79"/>
      <c r="B9" s="244" t="s">
        <v>134</v>
      </c>
      <c r="C9" s="244"/>
      <c r="D9" s="244"/>
      <c r="E9" s="244"/>
      <c r="F9" s="244"/>
      <c r="G9" s="22">
        <v>0.76</v>
      </c>
      <c r="H9" s="104">
        <f>ROUND($E$2*G9*12,0)</f>
        <v>32754</v>
      </c>
    </row>
    <row r="10" spans="1:8" ht="18.75" customHeight="1">
      <c r="A10" s="79">
        <v>2</v>
      </c>
      <c r="B10" s="203" t="s">
        <v>68</v>
      </c>
      <c r="C10" s="203"/>
      <c r="D10" s="203"/>
      <c r="E10" s="203"/>
      <c r="F10" s="203"/>
      <c r="G10" s="45"/>
      <c r="H10" s="104"/>
    </row>
    <row r="11" spans="1:8" ht="15.75" customHeight="1">
      <c r="A11" s="79"/>
      <c r="B11" s="18" t="s">
        <v>69</v>
      </c>
      <c r="C11" s="18"/>
      <c r="D11" s="18"/>
      <c r="E11" s="18"/>
      <c r="F11" s="5"/>
      <c r="G11" s="91"/>
      <c r="H11" s="104"/>
    </row>
    <row r="12" spans="1:8" ht="32.25" customHeight="1">
      <c r="A12" s="105"/>
      <c r="B12" s="242" t="s">
        <v>212</v>
      </c>
      <c r="C12" s="242"/>
      <c r="D12" s="242"/>
      <c r="E12" s="95" t="s">
        <v>32</v>
      </c>
      <c r="F12" s="82" t="s">
        <v>24</v>
      </c>
      <c r="G12" s="47">
        <v>1.06</v>
      </c>
      <c r="H12" s="81">
        <f aca="true" t="shared" si="0" ref="H12:H30">ROUND($E$2*G12*12,0)</f>
        <v>45683</v>
      </c>
    </row>
    <row r="13" spans="1:8" ht="18.75" customHeight="1">
      <c r="A13" s="105"/>
      <c r="B13" s="242" t="s">
        <v>17</v>
      </c>
      <c r="C13" s="242"/>
      <c r="D13" s="242"/>
      <c r="E13" s="95" t="s">
        <v>32</v>
      </c>
      <c r="F13" s="82" t="s">
        <v>19</v>
      </c>
      <c r="G13" s="47">
        <v>0.28</v>
      </c>
      <c r="H13" s="81">
        <f t="shared" si="0"/>
        <v>12067</v>
      </c>
    </row>
    <row r="14" spans="1:8" ht="18.75" customHeight="1">
      <c r="A14" s="105"/>
      <c r="B14" s="240" t="s">
        <v>23</v>
      </c>
      <c r="C14" s="240"/>
      <c r="D14" s="240"/>
      <c r="E14" s="96" t="s">
        <v>153</v>
      </c>
      <c r="F14" s="46" t="s">
        <v>20</v>
      </c>
      <c r="G14" s="47">
        <v>0.39</v>
      </c>
      <c r="H14" s="81">
        <f t="shared" si="0"/>
        <v>16808</v>
      </c>
    </row>
    <row r="15" spans="1:8" ht="15.75" customHeight="1">
      <c r="A15" s="105"/>
      <c r="B15" s="243" t="s">
        <v>31</v>
      </c>
      <c r="C15" s="243"/>
      <c r="D15" s="243"/>
      <c r="E15" s="97" t="s">
        <v>9</v>
      </c>
      <c r="F15" s="83" t="s">
        <v>10</v>
      </c>
      <c r="G15" s="47">
        <v>0.51</v>
      </c>
      <c r="H15" s="81">
        <f t="shared" si="0"/>
        <v>21979</v>
      </c>
    </row>
    <row r="16" spans="1:8" ht="51.75" customHeight="1">
      <c r="A16" s="105"/>
      <c r="B16" s="240" t="s">
        <v>27</v>
      </c>
      <c r="C16" s="240"/>
      <c r="D16" s="240"/>
      <c r="E16" s="96" t="s">
        <v>154</v>
      </c>
      <c r="F16" s="46" t="s">
        <v>25</v>
      </c>
      <c r="G16" s="47">
        <v>0.12</v>
      </c>
      <c r="H16" s="81">
        <f t="shared" si="0"/>
        <v>5172</v>
      </c>
    </row>
    <row r="17" spans="1:8" ht="34.5" customHeight="1">
      <c r="A17" s="105"/>
      <c r="B17" s="240" t="s">
        <v>11</v>
      </c>
      <c r="C17" s="240"/>
      <c r="D17" s="240"/>
      <c r="E17" s="96" t="s">
        <v>9</v>
      </c>
      <c r="F17" s="46" t="s">
        <v>12</v>
      </c>
      <c r="G17" s="47">
        <v>0</v>
      </c>
      <c r="H17" s="81">
        <f t="shared" si="0"/>
        <v>0</v>
      </c>
    </row>
    <row r="18" spans="1:8" ht="30.75" customHeight="1">
      <c r="A18" s="105"/>
      <c r="B18" s="240" t="s">
        <v>26</v>
      </c>
      <c r="C18" s="241"/>
      <c r="D18" s="241"/>
      <c r="E18" s="98" t="s">
        <v>13</v>
      </c>
      <c r="F18" s="45" t="s">
        <v>198</v>
      </c>
      <c r="G18" s="47">
        <v>0.05</v>
      </c>
      <c r="H18" s="81">
        <f t="shared" si="0"/>
        <v>2155</v>
      </c>
    </row>
    <row r="19" spans="1:8" ht="30" customHeight="1">
      <c r="A19" s="105"/>
      <c r="B19" s="240" t="s">
        <v>155</v>
      </c>
      <c r="C19" s="240"/>
      <c r="D19" s="240"/>
      <c r="E19" s="95" t="s">
        <v>36</v>
      </c>
      <c r="F19" s="46" t="s">
        <v>156</v>
      </c>
      <c r="G19" s="47">
        <v>2.15</v>
      </c>
      <c r="H19" s="81">
        <f t="shared" si="0"/>
        <v>92658</v>
      </c>
    </row>
    <row r="20" spans="1:8" ht="52.5" customHeight="1">
      <c r="A20" s="105"/>
      <c r="B20" s="242" t="s">
        <v>15</v>
      </c>
      <c r="C20" s="242"/>
      <c r="D20" s="242"/>
      <c r="E20" s="95" t="s">
        <v>136</v>
      </c>
      <c r="F20" s="46" t="s">
        <v>156</v>
      </c>
      <c r="G20" s="47">
        <v>0.44</v>
      </c>
      <c r="H20" s="81">
        <f t="shared" si="0"/>
        <v>18963</v>
      </c>
    </row>
    <row r="21" spans="1:8" ht="30.75" customHeight="1">
      <c r="A21" s="105"/>
      <c r="B21" s="240" t="s">
        <v>37</v>
      </c>
      <c r="C21" s="241"/>
      <c r="D21" s="241"/>
      <c r="E21" s="95" t="s">
        <v>36</v>
      </c>
      <c r="F21" s="46" t="s">
        <v>156</v>
      </c>
      <c r="G21" s="47">
        <f>3.46-G22-G23</f>
        <v>3.46</v>
      </c>
      <c r="H21" s="81">
        <f t="shared" si="0"/>
        <v>149115</v>
      </c>
    </row>
    <row r="22" spans="1:8" ht="16.5" customHeight="1">
      <c r="A22" s="105"/>
      <c r="B22" s="240" t="s">
        <v>199</v>
      </c>
      <c r="C22" s="240"/>
      <c r="D22" s="240"/>
      <c r="E22" s="96" t="s">
        <v>9</v>
      </c>
      <c r="F22" s="46" t="s">
        <v>156</v>
      </c>
      <c r="G22" s="47">
        <v>0</v>
      </c>
      <c r="H22" s="135">
        <f t="shared" si="0"/>
        <v>0</v>
      </c>
    </row>
    <row r="23" spans="1:8" ht="22.5" customHeight="1">
      <c r="A23" s="105"/>
      <c r="B23" s="240" t="s">
        <v>158</v>
      </c>
      <c r="C23" s="240"/>
      <c r="D23" s="240"/>
      <c r="E23" s="96" t="s">
        <v>9</v>
      </c>
      <c r="F23" s="46" t="s">
        <v>156</v>
      </c>
      <c r="G23" s="47">
        <v>0</v>
      </c>
      <c r="H23" s="135">
        <f t="shared" si="0"/>
        <v>0</v>
      </c>
    </row>
    <row r="24" spans="1:8" ht="24" customHeight="1">
      <c r="A24" s="105"/>
      <c r="B24" s="241" t="s">
        <v>21</v>
      </c>
      <c r="C24" s="241"/>
      <c r="D24" s="241"/>
      <c r="E24" s="95" t="s">
        <v>36</v>
      </c>
      <c r="F24" s="46" t="s">
        <v>156</v>
      </c>
      <c r="G24" s="47">
        <v>1.06</v>
      </c>
      <c r="H24" s="81">
        <f t="shared" si="0"/>
        <v>45683</v>
      </c>
    </row>
    <row r="25" spans="1:8" ht="15.75">
      <c r="A25" s="22"/>
      <c r="B25" s="232" t="s">
        <v>159</v>
      </c>
      <c r="C25" s="233"/>
      <c r="D25" s="234"/>
      <c r="E25" s="96" t="s">
        <v>9</v>
      </c>
      <c r="F25" s="46"/>
      <c r="G25" s="47"/>
      <c r="H25" s="81"/>
    </row>
    <row r="26" spans="1:8" ht="12.75" customHeight="1">
      <c r="A26" s="22"/>
      <c r="B26" s="232" t="s">
        <v>160</v>
      </c>
      <c r="C26" s="233"/>
      <c r="D26" s="234"/>
      <c r="E26" s="95" t="s">
        <v>36</v>
      </c>
      <c r="F26" s="46"/>
      <c r="G26" s="47"/>
      <c r="H26" s="81"/>
    </row>
    <row r="27" spans="1:8" ht="15.75">
      <c r="A27" s="105"/>
      <c r="B27" s="227"/>
      <c r="C27" s="228"/>
      <c r="D27" s="229"/>
      <c r="E27" s="95"/>
      <c r="F27" s="46"/>
      <c r="G27" s="47"/>
      <c r="H27" s="81"/>
    </row>
    <row r="28" spans="1:8" ht="20.25" customHeight="1">
      <c r="A28" s="105"/>
      <c r="B28" s="249" t="s">
        <v>30</v>
      </c>
      <c r="C28" s="250"/>
      <c r="D28" s="251"/>
      <c r="E28" s="14"/>
      <c r="F28" s="46"/>
      <c r="G28" s="20">
        <f>SUM(G12:G27)</f>
        <v>9.520000000000001</v>
      </c>
      <c r="H28" s="81">
        <f t="shared" si="0"/>
        <v>410282</v>
      </c>
    </row>
    <row r="29" spans="1:8" ht="15.75" customHeight="1">
      <c r="A29" s="79" t="s">
        <v>137</v>
      </c>
      <c r="B29" s="235" t="s">
        <v>200</v>
      </c>
      <c r="C29" s="236"/>
      <c r="D29" s="236"/>
      <c r="E29" s="237"/>
      <c r="F29" s="51" t="s">
        <v>201</v>
      </c>
      <c r="G29" s="23">
        <v>1.06</v>
      </c>
      <c r="H29" s="81">
        <f t="shared" si="0"/>
        <v>45683</v>
      </c>
    </row>
    <row r="30" spans="1:8" ht="15.75" customHeight="1">
      <c r="A30" s="79"/>
      <c r="B30" s="252" t="s">
        <v>202</v>
      </c>
      <c r="C30" s="252"/>
      <c r="D30" s="252"/>
      <c r="E30" s="252"/>
      <c r="F30" s="252"/>
      <c r="G30" s="20">
        <f>SUM(G28:G29)</f>
        <v>10.580000000000002</v>
      </c>
      <c r="H30" s="106">
        <f t="shared" si="0"/>
        <v>455964</v>
      </c>
    </row>
    <row r="31" spans="1:8" ht="15.75" customHeight="1" thickBot="1">
      <c r="A31" s="107">
        <v>3</v>
      </c>
      <c r="B31" s="253" t="s">
        <v>203</v>
      </c>
      <c r="C31" s="254"/>
      <c r="D31" s="255"/>
      <c r="E31" s="108"/>
      <c r="F31" s="109" t="s">
        <v>201</v>
      </c>
      <c r="G31" s="84">
        <v>0.76</v>
      </c>
      <c r="H31" s="110">
        <f>ROUND($E$2*G31*12,0)</f>
        <v>32754</v>
      </c>
    </row>
    <row r="32" spans="1:8" ht="15.75" customHeight="1">
      <c r="A32" s="111"/>
      <c r="B32" s="112"/>
      <c r="C32" s="112"/>
      <c r="D32" s="112"/>
      <c r="E32" s="112"/>
      <c r="F32" s="113"/>
      <c r="G32" s="85"/>
      <c r="H32" s="114"/>
    </row>
    <row r="33" spans="1:9" ht="18.75" customHeight="1">
      <c r="A33" s="115" t="s">
        <v>204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212" t="s">
        <v>205</v>
      </c>
      <c r="B34" s="212"/>
      <c r="C34" s="212"/>
      <c r="D34" s="212"/>
      <c r="E34" s="212"/>
      <c r="F34" s="212"/>
      <c r="G34" s="212"/>
      <c r="H34" s="212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206</v>
      </c>
    </row>
    <row r="37" spans="2:4" ht="15.75" customHeight="1">
      <c r="B37" s="116"/>
      <c r="C37" s="116"/>
      <c r="D37" s="116"/>
    </row>
  </sheetData>
  <sheetProtection/>
  <mergeCells count="27">
    <mergeCell ref="A34:H34"/>
    <mergeCell ref="B28:D28"/>
    <mergeCell ref="B29:E29"/>
    <mergeCell ref="B30:F30"/>
    <mergeCell ref="B31:D31"/>
    <mergeCell ref="B8:F8"/>
    <mergeCell ref="B9:F9"/>
    <mergeCell ref="B10:F10"/>
    <mergeCell ref="A1:H1"/>
    <mergeCell ref="B6:D6"/>
    <mergeCell ref="B7:F7"/>
    <mergeCell ref="B19:D19"/>
    <mergeCell ref="B20:D20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1:D21"/>
    <mergeCell ref="B22:D22"/>
    <mergeCell ref="B23:D23"/>
    <mergeCell ref="B24:D24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2">
      <selection activeCell="E33" sqref="E33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75390625" style="0" customWidth="1"/>
    <col min="6" max="6" width="6.375" style="0" hidden="1" customWidth="1"/>
    <col min="7" max="7" width="5.875" style="0" bestFit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5" t="s">
        <v>215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54" customHeight="1">
      <c r="A2" s="217" t="s">
        <v>216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9" ht="18.75">
      <c r="A3" s="1" t="s">
        <v>139</v>
      </c>
      <c r="B3" s="1" t="s">
        <v>84</v>
      </c>
      <c r="C3" s="2"/>
      <c r="D3" s="2" t="s">
        <v>0</v>
      </c>
      <c r="E3" s="26">
        <v>3591.4</v>
      </c>
      <c r="F3" s="2"/>
      <c r="H3" s="86"/>
      <c r="I3" s="86"/>
    </row>
    <row r="4" spans="2:8" ht="15.75">
      <c r="B4" s="3" t="s">
        <v>1</v>
      </c>
      <c r="C4" s="44">
        <v>5</v>
      </c>
      <c r="D4" s="2" t="s">
        <v>2</v>
      </c>
      <c r="E4" s="27">
        <v>80</v>
      </c>
      <c r="F4" s="2"/>
      <c r="H4" t="s">
        <v>99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141</v>
      </c>
    </row>
    <row r="7" spans="1:10" ht="39" customHeight="1">
      <c r="A7" s="21" t="s">
        <v>55</v>
      </c>
      <c r="B7" s="218" t="s">
        <v>142</v>
      </c>
      <c r="C7" s="219"/>
      <c r="D7" s="220"/>
      <c r="E7" s="11" t="s">
        <v>6</v>
      </c>
      <c r="F7" s="11" t="s">
        <v>7</v>
      </c>
      <c r="G7" s="87" t="s">
        <v>22</v>
      </c>
      <c r="H7" s="221" t="s">
        <v>143</v>
      </c>
      <c r="I7" s="222"/>
      <c r="J7" s="223"/>
    </row>
    <row r="8" spans="1:10" ht="15.75">
      <c r="A8" s="22">
        <v>1</v>
      </c>
      <c r="B8" s="202"/>
      <c r="C8" s="191"/>
      <c r="D8" s="191"/>
      <c r="E8" s="191"/>
      <c r="F8" s="192"/>
      <c r="G8" s="88"/>
      <c r="H8" s="89" t="s">
        <v>144</v>
      </c>
      <c r="I8" s="90" t="s">
        <v>145</v>
      </c>
      <c r="J8" s="90" t="s">
        <v>146</v>
      </c>
    </row>
    <row r="9" spans="1:10" ht="15.75">
      <c r="A9" s="22"/>
      <c r="B9" s="202" t="s">
        <v>147</v>
      </c>
      <c r="C9" s="191"/>
      <c r="D9" s="191"/>
      <c r="E9" s="191"/>
      <c r="F9" s="192"/>
      <c r="G9" s="91"/>
      <c r="H9" s="91"/>
      <c r="I9" s="57"/>
      <c r="J9" s="90"/>
    </row>
    <row r="10" spans="1:10" ht="15.75" customHeight="1">
      <c r="A10" s="92"/>
      <c r="B10" s="199" t="s">
        <v>148</v>
      </c>
      <c r="C10" s="199"/>
      <c r="D10" s="199"/>
      <c r="E10" s="199"/>
      <c r="F10" s="199"/>
      <c r="G10" s="15"/>
      <c r="H10" s="117">
        <v>440583.84</v>
      </c>
      <c r="I10" s="119"/>
      <c r="J10" s="117">
        <f>H10+I10</f>
        <v>440583.84</v>
      </c>
    </row>
    <row r="11" spans="1:10" ht="15.75" customHeight="1">
      <c r="A11" s="92"/>
      <c r="B11" s="199" t="s">
        <v>149</v>
      </c>
      <c r="C11" s="199"/>
      <c r="D11" s="199"/>
      <c r="E11" s="199"/>
      <c r="F11" s="199"/>
      <c r="G11" s="15"/>
      <c r="H11" s="117">
        <v>28662.04</v>
      </c>
      <c r="I11" s="119"/>
      <c r="J11" s="117">
        <f>H11+I11</f>
        <v>28662.04</v>
      </c>
    </row>
    <row r="12" spans="1:10" ht="15.75" customHeight="1">
      <c r="A12" s="22"/>
      <c r="B12" s="199" t="s">
        <v>150</v>
      </c>
      <c r="C12" s="199"/>
      <c r="D12" s="199"/>
      <c r="E12" s="199"/>
      <c r="F12" s="199"/>
      <c r="G12" s="15"/>
      <c r="H12" s="117"/>
      <c r="I12" s="119">
        <v>0</v>
      </c>
      <c r="J12" s="117">
        <f>H12+I12</f>
        <v>0</v>
      </c>
    </row>
    <row r="13" spans="1:10" ht="15.75">
      <c r="A13" s="22"/>
      <c r="B13" s="199" t="s">
        <v>151</v>
      </c>
      <c r="C13" s="199"/>
      <c r="D13" s="199"/>
      <c r="E13" s="199"/>
      <c r="F13" s="199"/>
      <c r="G13" s="15"/>
      <c r="H13" s="119">
        <v>0</v>
      </c>
      <c r="I13" s="119">
        <v>0</v>
      </c>
      <c r="J13" s="117">
        <f>H13+I13</f>
        <v>0</v>
      </c>
    </row>
    <row r="14" spans="1:10" ht="15.75" customHeight="1">
      <c r="A14" s="22"/>
      <c r="B14" s="200" t="s">
        <v>152</v>
      </c>
      <c r="C14" s="200"/>
      <c r="D14" s="200"/>
      <c r="E14" s="200"/>
      <c r="F14" s="200"/>
      <c r="G14" s="15"/>
      <c r="H14" s="124">
        <f>SUM(H10:H13)</f>
        <v>469245.88</v>
      </c>
      <c r="I14" s="124">
        <f>SUM(I10:I13)</f>
        <v>0</v>
      </c>
      <c r="J14" s="124">
        <f>SUM(J10:J13)</f>
        <v>469245.88</v>
      </c>
    </row>
    <row r="15" spans="1:10" ht="18.75" customHeight="1">
      <c r="A15" s="22">
        <v>2</v>
      </c>
      <c r="B15" s="203" t="s">
        <v>68</v>
      </c>
      <c r="C15" s="203"/>
      <c r="D15" s="203"/>
      <c r="E15" s="203"/>
      <c r="F15" s="203"/>
      <c r="G15" s="15"/>
      <c r="H15" s="125"/>
      <c r="I15" s="126"/>
      <c r="J15" s="127"/>
    </row>
    <row r="16" spans="1:10" ht="15.75">
      <c r="A16" s="22" t="s">
        <v>135</v>
      </c>
      <c r="B16" s="18" t="s">
        <v>69</v>
      </c>
      <c r="C16" s="18"/>
      <c r="D16" s="18"/>
      <c r="E16" s="18"/>
      <c r="F16" s="5"/>
      <c r="G16" s="89"/>
      <c r="H16" s="118"/>
      <c r="I16" s="128"/>
      <c r="J16" s="129"/>
    </row>
    <row r="17" spans="1:10" ht="33.75" customHeight="1">
      <c r="A17" s="94"/>
      <c r="B17" s="225" t="s">
        <v>212</v>
      </c>
      <c r="C17" s="225"/>
      <c r="D17" s="225"/>
      <c r="E17" s="95" t="s">
        <v>32</v>
      </c>
      <c r="F17" s="82" t="s">
        <v>24</v>
      </c>
      <c r="G17" s="47">
        <v>1.06</v>
      </c>
      <c r="H17" s="130">
        <f>ROUND(G17*$E$3*12,2)</f>
        <v>45682.61</v>
      </c>
      <c r="I17" s="131">
        <f>$I$12*0.08</f>
        <v>0</v>
      </c>
      <c r="J17" s="132">
        <f>SUM(H17:I17)</f>
        <v>45682.61</v>
      </c>
    </row>
    <row r="18" spans="1:10" ht="17.25" customHeight="1">
      <c r="A18" s="22"/>
      <c r="B18" s="226" t="s">
        <v>17</v>
      </c>
      <c r="C18" s="226"/>
      <c r="D18" s="226"/>
      <c r="E18" s="95" t="s">
        <v>32</v>
      </c>
      <c r="F18" s="82" t="s">
        <v>19</v>
      </c>
      <c r="G18" s="47">
        <v>0.28</v>
      </c>
      <c r="H18" s="130">
        <f>ROUND(G18*$E$3*12,2)</f>
        <v>12067.1</v>
      </c>
      <c r="I18" s="131">
        <f>$I$12*0.02</f>
        <v>0</v>
      </c>
      <c r="J18" s="132">
        <f>SUM(H18:I18)</f>
        <v>12067.1</v>
      </c>
    </row>
    <row r="19" spans="1:10" ht="20.25" customHeight="1">
      <c r="A19" s="22"/>
      <c r="B19" s="224" t="s">
        <v>23</v>
      </c>
      <c r="C19" s="224"/>
      <c r="D19" s="224"/>
      <c r="E19" s="96" t="s">
        <v>153</v>
      </c>
      <c r="F19" s="46" t="s">
        <v>20</v>
      </c>
      <c r="G19" s="47">
        <v>0.39</v>
      </c>
      <c r="H19" s="130">
        <f>J19-I19</f>
        <v>12121.15</v>
      </c>
      <c r="I19" s="131">
        <f>$I$12*0.07</f>
        <v>0</v>
      </c>
      <c r="J19" s="132">
        <v>12121.15</v>
      </c>
    </row>
    <row r="20" spans="1:10" ht="20.25" customHeight="1">
      <c r="A20" s="94"/>
      <c r="B20" s="225" t="s">
        <v>31</v>
      </c>
      <c r="C20" s="225"/>
      <c r="D20" s="225"/>
      <c r="E20" s="97" t="s">
        <v>9</v>
      </c>
      <c r="F20" s="83" t="s">
        <v>10</v>
      </c>
      <c r="G20" s="47">
        <v>0.51</v>
      </c>
      <c r="H20" s="130">
        <f>ROUND(G20*$E$3*12,2)</f>
        <v>21979.37</v>
      </c>
      <c r="I20" s="131">
        <f>$I$12*0.04</f>
        <v>0</v>
      </c>
      <c r="J20" s="132">
        <f>SUM(H20:I20)</f>
        <v>21979.37</v>
      </c>
    </row>
    <row r="21" spans="1:10" ht="49.5" customHeight="1">
      <c r="A21" s="22"/>
      <c r="B21" s="224" t="s">
        <v>27</v>
      </c>
      <c r="C21" s="224"/>
      <c r="D21" s="224"/>
      <c r="E21" s="96" t="s">
        <v>154</v>
      </c>
      <c r="F21" s="46" t="s">
        <v>25</v>
      </c>
      <c r="G21" s="47">
        <v>0.12</v>
      </c>
      <c r="H21" s="130">
        <f>J21-I21</f>
        <v>6023.76</v>
      </c>
      <c r="I21" s="131">
        <f>$I$12*0.01</f>
        <v>0</v>
      </c>
      <c r="J21" s="132">
        <v>6023.76</v>
      </c>
    </row>
    <row r="22" spans="1:10" ht="20.25" customHeight="1">
      <c r="A22" s="94"/>
      <c r="B22" s="224" t="s">
        <v>11</v>
      </c>
      <c r="C22" s="224"/>
      <c r="D22" s="224"/>
      <c r="E22" s="96" t="s">
        <v>9</v>
      </c>
      <c r="F22" s="46" t="s">
        <v>12</v>
      </c>
      <c r="G22" s="47">
        <v>0</v>
      </c>
      <c r="H22" s="130">
        <f>J22-I22</f>
        <v>0</v>
      </c>
      <c r="I22" s="131">
        <f>$I$12*0.15</f>
        <v>0</v>
      </c>
      <c r="J22" s="132">
        <f>G22*E3*12</f>
        <v>0</v>
      </c>
    </row>
    <row r="23" spans="1:10" ht="20.25" customHeight="1">
      <c r="A23" s="94"/>
      <c r="B23" s="224" t="s">
        <v>26</v>
      </c>
      <c r="C23" s="230"/>
      <c r="D23" s="230"/>
      <c r="E23" s="98" t="s">
        <v>13</v>
      </c>
      <c r="F23" s="45" t="s">
        <v>14</v>
      </c>
      <c r="G23" s="47">
        <v>0.05</v>
      </c>
      <c r="H23" s="130">
        <f>J23-I23</f>
        <v>2956.1</v>
      </c>
      <c r="I23" s="131">
        <f>$I$12*0.003</f>
        <v>0</v>
      </c>
      <c r="J23" s="132">
        <v>2956.1</v>
      </c>
    </row>
    <row r="24" spans="1:10" ht="28.5" customHeight="1">
      <c r="A24" s="22"/>
      <c r="B24" s="224" t="s">
        <v>155</v>
      </c>
      <c r="C24" s="224"/>
      <c r="D24" s="224"/>
      <c r="E24" s="95" t="s">
        <v>36</v>
      </c>
      <c r="F24" s="99" t="s">
        <v>156</v>
      </c>
      <c r="G24" s="47">
        <v>2.15</v>
      </c>
      <c r="H24" s="130">
        <f aca="true" t="shared" si="0" ref="H24:H29">ROUND(G24*$E$3*12,2)</f>
        <v>92658.12</v>
      </c>
      <c r="I24" s="131">
        <f>$I$12*0.19</f>
        <v>0</v>
      </c>
      <c r="J24" s="132">
        <f aca="true" t="shared" si="1" ref="J24:J29">SUM(H24:I24)</f>
        <v>92658.12</v>
      </c>
    </row>
    <row r="25" spans="1:10" ht="26.25" customHeight="1">
      <c r="A25" s="22"/>
      <c r="B25" s="226" t="s">
        <v>15</v>
      </c>
      <c r="C25" s="226"/>
      <c r="D25" s="226"/>
      <c r="E25" s="95" t="s">
        <v>36</v>
      </c>
      <c r="F25" s="99" t="s">
        <v>156</v>
      </c>
      <c r="G25" s="47">
        <v>0.44</v>
      </c>
      <c r="H25" s="130">
        <f t="shared" si="0"/>
        <v>18962.59</v>
      </c>
      <c r="I25" s="131">
        <v>0</v>
      </c>
      <c r="J25" s="132">
        <f t="shared" si="1"/>
        <v>18962.59</v>
      </c>
    </row>
    <row r="26" spans="1:10" ht="30" customHeight="1">
      <c r="A26" s="22"/>
      <c r="B26" s="231" t="s">
        <v>37</v>
      </c>
      <c r="C26" s="228"/>
      <c r="D26" s="229"/>
      <c r="E26" s="95" t="s">
        <v>36</v>
      </c>
      <c r="F26" s="99" t="s">
        <v>156</v>
      </c>
      <c r="G26" s="49">
        <f>3.46-G27-G28</f>
        <v>3.46</v>
      </c>
      <c r="H26" s="130">
        <f t="shared" si="0"/>
        <v>149114.93</v>
      </c>
      <c r="I26" s="131">
        <f>$I$12*(0.18+0.02)</f>
        <v>0</v>
      </c>
      <c r="J26" s="132">
        <f t="shared" si="1"/>
        <v>149114.93</v>
      </c>
    </row>
    <row r="27" spans="1:10" ht="26.25" customHeight="1">
      <c r="A27" s="94"/>
      <c r="B27" s="224" t="s">
        <v>157</v>
      </c>
      <c r="C27" s="224"/>
      <c r="D27" s="224"/>
      <c r="E27" s="95" t="s">
        <v>36</v>
      </c>
      <c r="F27" s="99" t="s">
        <v>156</v>
      </c>
      <c r="G27" s="49">
        <v>0</v>
      </c>
      <c r="H27" s="130">
        <f t="shared" si="0"/>
        <v>0</v>
      </c>
      <c r="I27" s="131">
        <f>$I$12*0.02</f>
        <v>0</v>
      </c>
      <c r="J27" s="132">
        <f t="shared" si="1"/>
        <v>0</v>
      </c>
    </row>
    <row r="28" spans="1:10" ht="17.25" customHeight="1">
      <c r="A28" s="22"/>
      <c r="B28" s="224" t="s">
        <v>158</v>
      </c>
      <c r="C28" s="224"/>
      <c r="D28" s="224"/>
      <c r="E28" s="96" t="s">
        <v>9</v>
      </c>
      <c r="F28" s="99" t="s">
        <v>156</v>
      </c>
      <c r="G28" s="49">
        <v>0</v>
      </c>
      <c r="H28" s="130">
        <f t="shared" si="0"/>
        <v>0</v>
      </c>
      <c r="I28" s="131">
        <f>$I$12*0.02</f>
        <v>0</v>
      </c>
      <c r="J28" s="132">
        <f t="shared" si="1"/>
        <v>0</v>
      </c>
    </row>
    <row r="29" spans="1:10" ht="30.75" customHeight="1">
      <c r="A29" s="22"/>
      <c r="B29" s="230" t="s">
        <v>21</v>
      </c>
      <c r="C29" s="230"/>
      <c r="D29" s="230"/>
      <c r="E29" s="96" t="s">
        <v>36</v>
      </c>
      <c r="F29" s="99" t="s">
        <v>156</v>
      </c>
      <c r="G29" s="45">
        <v>1.06</v>
      </c>
      <c r="H29" s="130">
        <f t="shared" si="0"/>
        <v>45682.61</v>
      </c>
      <c r="I29" s="131">
        <f>$I$12*0.1</f>
        <v>0</v>
      </c>
      <c r="J29" s="132">
        <f t="shared" si="1"/>
        <v>45682.61</v>
      </c>
    </row>
    <row r="30" spans="1:10" ht="15.75">
      <c r="A30" s="22"/>
      <c r="B30" s="227"/>
      <c r="C30" s="228"/>
      <c r="D30" s="229"/>
      <c r="E30" s="96"/>
      <c r="F30" s="99"/>
      <c r="G30" s="45"/>
      <c r="H30" s="130"/>
      <c r="I30" s="131"/>
      <c r="J30" s="133"/>
    </row>
    <row r="31" spans="1:10" ht="15.75">
      <c r="A31" s="22"/>
      <c r="B31" s="227"/>
      <c r="C31" s="228"/>
      <c r="D31" s="229"/>
      <c r="E31" s="96"/>
      <c r="F31" s="99"/>
      <c r="G31" s="45"/>
      <c r="H31" s="130"/>
      <c r="I31" s="131"/>
      <c r="J31" s="133"/>
    </row>
    <row r="32" spans="1:10" ht="15.75">
      <c r="A32" s="22"/>
      <c r="B32" s="211" t="s">
        <v>30</v>
      </c>
      <c r="C32" s="211"/>
      <c r="D32" s="211"/>
      <c r="E32" s="14"/>
      <c r="F32" s="99"/>
      <c r="G32" s="20">
        <f>SUM(G17:G29)</f>
        <v>9.520000000000001</v>
      </c>
      <c r="H32" s="120">
        <f>SUM(H17:H31)</f>
        <v>407248.33999999997</v>
      </c>
      <c r="I32" s="121">
        <f>SUM(I17:I31)</f>
        <v>0</v>
      </c>
      <c r="J32" s="120">
        <f>SUM(J17:J31)</f>
        <v>407248.33999999997</v>
      </c>
    </row>
    <row r="33" spans="1:10" ht="21.75" customHeight="1">
      <c r="A33" s="22"/>
      <c r="B33" s="232" t="s">
        <v>159</v>
      </c>
      <c r="C33" s="233"/>
      <c r="D33" s="234"/>
      <c r="E33" s="96" t="s">
        <v>9</v>
      </c>
      <c r="F33" s="99"/>
      <c r="G33" s="45"/>
      <c r="H33" s="130"/>
      <c r="I33" s="131"/>
      <c r="J33" s="133"/>
    </row>
    <row r="34" spans="1:10" ht="27.75" customHeight="1">
      <c r="A34" s="22"/>
      <c r="B34" s="232" t="s">
        <v>160</v>
      </c>
      <c r="C34" s="233"/>
      <c r="D34" s="234"/>
      <c r="E34" s="95" t="s">
        <v>36</v>
      </c>
      <c r="F34" s="99"/>
      <c r="G34" s="45"/>
      <c r="H34" s="130"/>
      <c r="I34" s="131"/>
      <c r="J34" s="133"/>
    </row>
    <row r="35" spans="1:10" ht="15.75">
      <c r="A35" s="22"/>
      <c r="B35" s="227"/>
      <c r="C35" s="228"/>
      <c r="D35" s="229"/>
      <c r="E35" s="96"/>
      <c r="F35" s="99"/>
      <c r="G35" s="45"/>
      <c r="H35" s="130"/>
      <c r="I35" s="131"/>
      <c r="J35" s="133"/>
    </row>
    <row r="36" spans="1:10" ht="15" customHeight="1">
      <c r="A36" s="22" t="s">
        <v>137</v>
      </c>
      <c r="B36" s="235" t="s">
        <v>161</v>
      </c>
      <c r="C36" s="236"/>
      <c r="D36" s="236"/>
      <c r="E36" s="237"/>
      <c r="F36" s="99" t="s">
        <v>156</v>
      </c>
      <c r="G36" s="23">
        <f>H36/E3/12</f>
        <v>5.462069109539455</v>
      </c>
      <c r="H36" s="121">
        <v>235397.7</v>
      </c>
      <c r="I36" s="132">
        <v>0</v>
      </c>
      <c r="J36" s="124">
        <f>SUM(H36:I36)</f>
        <v>235397.7</v>
      </c>
    </row>
    <row r="37" spans="1:10" ht="14.25" customHeight="1">
      <c r="A37" s="25"/>
      <c r="B37" s="238" t="s">
        <v>70</v>
      </c>
      <c r="C37" s="238"/>
      <c r="D37" s="238"/>
      <c r="E37" s="238"/>
      <c r="F37" s="238"/>
      <c r="G37" s="20">
        <f>SUM(G32:G36)</f>
        <v>14.982069109539456</v>
      </c>
      <c r="H37" s="122">
        <f>SUM(H32:H36)</f>
        <v>642646.04</v>
      </c>
      <c r="I37" s="123">
        <f>SUM(I32:I36)</f>
        <v>0</v>
      </c>
      <c r="J37" s="122">
        <f>SUM(J32:J36)</f>
        <v>642646.04</v>
      </c>
    </row>
    <row r="38" spans="1:10" ht="15.75">
      <c r="A38" s="22" t="s">
        <v>138</v>
      </c>
      <c r="B38" s="239" t="s">
        <v>162</v>
      </c>
      <c r="C38" s="239"/>
      <c r="D38" s="239"/>
      <c r="E38" s="239"/>
      <c r="F38" s="239"/>
      <c r="G38" s="23"/>
      <c r="H38" s="123">
        <v>168687</v>
      </c>
      <c r="I38" s="123">
        <v>0</v>
      </c>
      <c r="J38" s="133">
        <f>SUM(H38:I38)</f>
        <v>168687</v>
      </c>
    </row>
    <row r="39" spans="1:10" ht="24.75" customHeight="1">
      <c r="A39" s="25"/>
      <c r="B39" s="238" t="s">
        <v>163</v>
      </c>
      <c r="C39" s="238"/>
      <c r="D39" s="238"/>
      <c r="E39" s="238"/>
      <c r="F39" s="238"/>
      <c r="G39" s="20">
        <f>SUM(G37:G38)</f>
        <v>14.982069109539456</v>
      </c>
      <c r="H39" s="122">
        <f>SUM(H37:H38)</f>
        <v>811333.04</v>
      </c>
      <c r="I39" s="123">
        <f>SUM(I37:I38)</f>
        <v>0</v>
      </c>
      <c r="J39" s="122">
        <f>SUM(J37:J38)</f>
        <v>811333.04</v>
      </c>
    </row>
    <row r="40" spans="1:10" ht="27" customHeight="1">
      <c r="A40" s="22">
        <v>3</v>
      </c>
      <c r="B40" s="213" t="s">
        <v>214</v>
      </c>
      <c r="C40" s="214"/>
      <c r="D40" s="214"/>
      <c r="E40" s="214"/>
      <c r="F40" s="214"/>
      <c r="G40" s="215"/>
      <c r="H40" s="130">
        <f>H14-H39</f>
        <v>-342087.16000000003</v>
      </c>
      <c r="I40" s="130">
        <f>I14-I39</f>
        <v>0</v>
      </c>
      <c r="J40" s="121">
        <f>J14-J39</f>
        <v>-342087.16000000003</v>
      </c>
    </row>
    <row r="41" spans="2:6" ht="15.75">
      <c r="B41" s="33"/>
      <c r="F41" s="33"/>
    </row>
    <row r="42" spans="2:9" ht="20.25" customHeight="1">
      <c r="B42" s="212" t="s">
        <v>217</v>
      </c>
      <c r="C42" s="212"/>
      <c r="D42" s="212"/>
      <c r="E42" s="212"/>
      <c r="F42" s="212"/>
      <c r="G42" s="212"/>
      <c r="H42" s="212"/>
      <c r="I42" s="212"/>
    </row>
    <row r="43" spans="2:4" ht="20.25" customHeight="1">
      <c r="B43" s="33"/>
      <c r="C43" s="33"/>
      <c r="D43" s="33"/>
    </row>
    <row r="44" spans="2:4" ht="20.25" customHeight="1">
      <c r="B44" s="43" t="s">
        <v>72</v>
      </c>
      <c r="C44" s="43"/>
      <c r="D44" s="43"/>
    </row>
    <row r="45" spans="2:9" ht="20.25" customHeight="1">
      <c r="B45" s="216" t="s">
        <v>218</v>
      </c>
      <c r="C45" s="216"/>
      <c r="D45" s="216"/>
      <c r="E45" s="216"/>
      <c r="F45" s="216"/>
      <c r="G45" s="216"/>
      <c r="H45" s="216"/>
      <c r="I45" s="33"/>
    </row>
    <row r="46" spans="2:4" ht="15.75" customHeight="1">
      <c r="B46" s="194" t="s">
        <v>75</v>
      </c>
      <c r="C46" s="194"/>
      <c r="D46" s="194"/>
    </row>
  </sheetData>
  <sheetProtection/>
  <mergeCells count="39">
    <mergeCell ref="B35:D35"/>
    <mergeCell ref="B38:F38"/>
    <mergeCell ref="B36:E36"/>
    <mergeCell ref="B37:F37"/>
    <mergeCell ref="B30:D30"/>
    <mergeCell ref="B31:D31"/>
    <mergeCell ref="B32:D32"/>
    <mergeCell ref="B34:D34"/>
    <mergeCell ref="B45:H45"/>
    <mergeCell ref="B46:D46"/>
    <mergeCell ref="B39:F39"/>
    <mergeCell ref="B40:G40"/>
    <mergeCell ref="B42:I42"/>
    <mergeCell ref="B19:D19"/>
    <mergeCell ref="B20:D20"/>
    <mergeCell ref="B33:D33"/>
    <mergeCell ref="B23:D23"/>
    <mergeCell ref="B24:D24"/>
    <mergeCell ref="B25:D25"/>
    <mergeCell ref="B26:D26"/>
    <mergeCell ref="B27:D27"/>
    <mergeCell ref="B28:D28"/>
    <mergeCell ref="B29:D29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8:F8"/>
    <mergeCell ref="B9:F9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0">
      <selection activeCell="A2" sqref="A2:H31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50390625" style="0" customWidth="1"/>
    <col min="6" max="6" width="9.25390625" style="0" hidden="1" customWidth="1"/>
    <col min="7" max="7" width="5.8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5" t="s">
        <v>219</v>
      </c>
      <c r="B1" s="195"/>
      <c r="C1" s="195"/>
      <c r="D1" s="195"/>
      <c r="E1" s="195"/>
      <c r="F1" s="195"/>
      <c r="G1" s="195"/>
      <c r="H1" s="195"/>
    </row>
    <row r="2" spans="1:6" ht="18.75">
      <c r="A2" s="1" t="s">
        <v>139</v>
      </c>
      <c r="B2" s="1" t="s">
        <v>84</v>
      </c>
      <c r="C2" s="2"/>
      <c r="D2" s="2" t="s">
        <v>0</v>
      </c>
      <c r="E2" s="26">
        <v>3591.4</v>
      </c>
      <c r="F2" s="2"/>
    </row>
    <row r="3" spans="2:6" ht="15.75">
      <c r="B3" s="3" t="s">
        <v>1</v>
      </c>
      <c r="C3" s="44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6" customHeight="1">
      <c r="A6" s="77" t="s">
        <v>55</v>
      </c>
      <c r="B6" s="245" t="s">
        <v>142</v>
      </c>
      <c r="C6" s="246"/>
      <c r="D6" s="247"/>
      <c r="E6" s="78" t="s">
        <v>6</v>
      </c>
      <c r="F6" s="78" t="s">
        <v>7</v>
      </c>
      <c r="G6" s="102" t="s">
        <v>196</v>
      </c>
      <c r="H6" s="103" t="s">
        <v>132</v>
      </c>
    </row>
    <row r="7" spans="1:8" ht="15.75" customHeight="1">
      <c r="A7" s="79">
        <v>1</v>
      </c>
      <c r="B7" s="248" t="s">
        <v>133</v>
      </c>
      <c r="C7" s="248"/>
      <c r="D7" s="248"/>
      <c r="E7" s="248"/>
      <c r="F7" s="248"/>
      <c r="G7" s="80"/>
      <c r="H7" s="104"/>
    </row>
    <row r="8" spans="1:8" ht="33.75" customHeight="1">
      <c r="A8" s="79"/>
      <c r="B8" s="200" t="s">
        <v>197</v>
      </c>
      <c r="C8" s="200"/>
      <c r="D8" s="200"/>
      <c r="E8" s="200"/>
      <c r="F8" s="200"/>
      <c r="G8" s="23">
        <f>G30</f>
        <v>10.89</v>
      </c>
      <c r="H8" s="81">
        <f>ROUND(E2*G8*12,2)</f>
        <v>469324.15</v>
      </c>
    </row>
    <row r="9" spans="1:8" ht="15.75" customHeight="1">
      <c r="A9" s="79"/>
      <c r="B9" s="244" t="s">
        <v>134</v>
      </c>
      <c r="C9" s="244"/>
      <c r="D9" s="244"/>
      <c r="E9" s="244"/>
      <c r="F9" s="244"/>
      <c r="G9" s="22">
        <v>0.78</v>
      </c>
      <c r="H9" s="104">
        <f>ROUND($E$2*G9*12,0)</f>
        <v>33616</v>
      </c>
    </row>
    <row r="10" spans="1:8" ht="18.75" customHeight="1">
      <c r="A10" s="79">
        <v>2</v>
      </c>
      <c r="B10" s="203" t="s">
        <v>68</v>
      </c>
      <c r="C10" s="203"/>
      <c r="D10" s="203"/>
      <c r="E10" s="203"/>
      <c r="F10" s="203"/>
      <c r="G10" s="45"/>
      <c r="H10" s="104"/>
    </row>
    <row r="11" spans="1:8" ht="15.75" customHeight="1">
      <c r="A11" s="79"/>
      <c r="B11" s="18" t="s">
        <v>69</v>
      </c>
      <c r="C11" s="18"/>
      <c r="D11" s="18"/>
      <c r="E11" s="18"/>
      <c r="F11" s="5"/>
      <c r="G11" s="91"/>
      <c r="H11" s="104"/>
    </row>
    <row r="12" spans="1:8" ht="32.25" customHeight="1">
      <c r="A12" s="105"/>
      <c r="B12" s="242" t="s">
        <v>212</v>
      </c>
      <c r="C12" s="242"/>
      <c r="D12" s="242"/>
      <c r="E12" s="95" t="s">
        <v>32</v>
      </c>
      <c r="F12" s="82" t="s">
        <v>24</v>
      </c>
      <c r="G12" s="47">
        <v>1.09</v>
      </c>
      <c r="H12" s="81">
        <f aca="true" t="shared" si="0" ref="H12:H30">ROUND($E$2*G12*12,0)</f>
        <v>46976</v>
      </c>
    </row>
    <row r="13" spans="1:8" ht="18.75" customHeight="1">
      <c r="A13" s="105"/>
      <c r="B13" s="242" t="s">
        <v>17</v>
      </c>
      <c r="C13" s="242"/>
      <c r="D13" s="242"/>
      <c r="E13" s="95" t="s">
        <v>32</v>
      </c>
      <c r="F13" s="82" t="s">
        <v>19</v>
      </c>
      <c r="G13" s="47">
        <v>0.29</v>
      </c>
      <c r="H13" s="81">
        <f t="shared" si="0"/>
        <v>12498</v>
      </c>
    </row>
    <row r="14" spans="1:8" ht="18.75" customHeight="1">
      <c r="A14" s="105"/>
      <c r="B14" s="240" t="s">
        <v>23</v>
      </c>
      <c r="C14" s="240"/>
      <c r="D14" s="240"/>
      <c r="E14" s="96" t="s">
        <v>153</v>
      </c>
      <c r="F14" s="46" t="s">
        <v>20</v>
      </c>
      <c r="G14" s="47">
        <v>0.4</v>
      </c>
      <c r="H14" s="81">
        <f t="shared" si="0"/>
        <v>17239</v>
      </c>
    </row>
    <row r="15" spans="1:8" ht="15.75" customHeight="1">
      <c r="A15" s="105"/>
      <c r="B15" s="243" t="s">
        <v>31</v>
      </c>
      <c r="C15" s="243"/>
      <c r="D15" s="243"/>
      <c r="E15" s="97" t="s">
        <v>9</v>
      </c>
      <c r="F15" s="83" t="s">
        <v>10</v>
      </c>
      <c r="G15" s="47">
        <v>0.53</v>
      </c>
      <c r="H15" s="81">
        <f t="shared" si="0"/>
        <v>22841</v>
      </c>
    </row>
    <row r="16" spans="1:8" ht="51.75" customHeight="1">
      <c r="A16" s="105"/>
      <c r="B16" s="240" t="s">
        <v>27</v>
      </c>
      <c r="C16" s="240"/>
      <c r="D16" s="240"/>
      <c r="E16" s="96" t="s">
        <v>154</v>
      </c>
      <c r="F16" s="46" t="s">
        <v>25</v>
      </c>
      <c r="G16" s="47">
        <v>0.12</v>
      </c>
      <c r="H16" s="81">
        <f t="shared" si="0"/>
        <v>5172</v>
      </c>
    </row>
    <row r="17" spans="1:8" ht="34.5" customHeight="1">
      <c r="A17" s="105"/>
      <c r="B17" s="240" t="s">
        <v>11</v>
      </c>
      <c r="C17" s="240"/>
      <c r="D17" s="240"/>
      <c r="E17" s="96" t="s">
        <v>9</v>
      </c>
      <c r="F17" s="46" t="s">
        <v>12</v>
      </c>
      <c r="G17" s="47">
        <v>0</v>
      </c>
      <c r="H17" s="81">
        <f t="shared" si="0"/>
        <v>0</v>
      </c>
    </row>
    <row r="18" spans="1:8" ht="30.75" customHeight="1">
      <c r="A18" s="105"/>
      <c r="B18" s="240" t="s">
        <v>26</v>
      </c>
      <c r="C18" s="241"/>
      <c r="D18" s="241"/>
      <c r="E18" s="98" t="s">
        <v>13</v>
      </c>
      <c r="F18" s="45" t="s">
        <v>198</v>
      </c>
      <c r="G18" s="47">
        <v>0.05</v>
      </c>
      <c r="H18" s="81">
        <f t="shared" si="0"/>
        <v>2155</v>
      </c>
    </row>
    <row r="19" spans="1:8" ht="30" customHeight="1">
      <c r="A19" s="105"/>
      <c r="B19" s="240" t="s">
        <v>155</v>
      </c>
      <c r="C19" s="240"/>
      <c r="D19" s="240"/>
      <c r="E19" s="95" t="s">
        <v>36</v>
      </c>
      <c r="F19" s="46" t="s">
        <v>156</v>
      </c>
      <c r="G19" s="47">
        <v>2.21</v>
      </c>
      <c r="H19" s="81">
        <f t="shared" si="0"/>
        <v>95244</v>
      </c>
    </row>
    <row r="20" spans="1:8" ht="52.5" customHeight="1">
      <c r="A20" s="105"/>
      <c r="B20" s="242" t="s">
        <v>15</v>
      </c>
      <c r="C20" s="242"/>
      <c r="D20" s="242"/>
      <c r="E20" s="95" t="s">
        <v>136</v>
      </c>
      <c r="F20" s="46" t="s">
        <v>156</v>
      </c>
      <c r="G20" s="47">
        <v>0.45</v>
      </c>
      <c r="H20" s="81">
        <f t="shared" si="0"/>
        <v>19394</v>
      </c>
    </row>
    <row r="21" spans="1:8" ht="30.75" customHeight="1">
      <c r="A21" s="105"/>
      <c r="B21" s="240" t="s">
        <v>37</v>
      </c>
      <c r="C21" s="241"/>
      <c r="D21" s="241"/>
      <c r="E21" s="95" t="s">
        <v>36</v>
      </c>
      <c r="F21" s="46" t="s">
        <v>156</v>
      </c>
      <c r="G21" s="47">
        <f>3.57-G22-G23</f>
        <v>3.57</v>
      </c>
      <c r="H21" s="81">
        <f t="shared" si="0"/>
        <v>153856</v>
      </c>
    </row>
    <row r="22" spans="1:8" ht="16.5" customHeight="1">
      <c r="A22" s="105"/>
      <c r="B22" s="240" t="s">
        <v>199</v>
      </c>
      <c r="C22" s="240"/>
      <c r="D22" s="240"/>
      <c r="E22" s="96" t="s">
        <v>9</v>
      </c>
      <c r="F22" s="46" t="s">
        <v>156</v>
      </c>
      <c r="G22" s="47">
        <v>0</v>
      </c>
      <c r="H22" s="135">
        <f t="shared" si="0"/>
        <v>0</v>
      </c>
    </row>
    <row r="23" spans="1:8" ht="22.5" customHeight="1">
      <c r="A23" s="105"/>
      <c r="B23" s="240" t="s">
        <v>158</v>
      </c>
      <c r="C23" s="240"/>
      <c r="D23" s="240"/>
      <c r="E23" s="96" t="s">
        <v>9</v>
      </c>
      <c r="F23" s="46" t="s">
        <v>156</v>
      </c>
      <c r="G23" s="47">
        <v>0</v>
      </c>
      <c r="H23" s="135">
        <f t="shared" si="0"/>
        <v>0</v>
      </c>
    </row>
    <row r="24" spans="1:8" ht="24" customHeight="1">
      <c r="A24" s="105"/>
      <c r="B24" s="241" t="s">
        <v>21</v>
      </c>
      <c r="C24" s="241"/>
      <c r="D24" s="241"/>
      <c r="E24" s="95" t="s">
        <v>36</v>
      </c>
      <c r="F24" s="46" t="s">
        <v>156</v>
      </c>
      <c r="G24" s="47">
        <v>1.09</v>
      </c>
      <c r="H24" s="81">
        <f t="shared" si="0"/>
        <v>46976</v>
      </c>
    </row>
    <row r="25" spans="1:8" ht="15.75">
      <c r="A25" s="22"/>
      <c r="B25" s="232" t="s">
        <v>159</v>
      </c>
      <c r="C25" s="233"/>
      <c r="D25" s="234"/>
      <c r="E25" s="96" t="s">
        <v>9</v>
      </c>
      <c r="F25" s="46"/>
      <c r="G25" s="47"/>
      <c r="H25" s="81"/>
    </row>
    <row r="26" spans="1:8" ht="12.75" customHeight="1">
      <c r="A26" s="22"/>
      <c r="B26" s="232" t="s">
        <v>160</v>
      </c>
      <c r="C26" s="233"/>
      <c r="D26" s="234"/>
      <c r="E26" s="95" t="s">
        <v>36</v>
      </c>
      <c r="F26" s="46"/>
      <c r="G26" s="47"/>
      <c r="H26" s="81"/>
    </row>
    <row r="27" spans="1:8" ht="15.75">
      <c r="A27" s="105"/>
      <c r="B27" s="227"/>
      <c r="C27" s="228"/>
      <c r="D27" s="229"/>
      <c r="E27" s="95"/>
      <c r="F27" s="46"/>
      <c r="G27" s="47"/>
      <c r="H27" s="81"/>
    </row>
    <row r="28" spans="1:8" ht="20.25" customHeight="1">
      <c r="A28" s="105"/>
      <c r="B28" s="249" t="s">
        <v>30</v>
      </c>
      <c r="C28" s="250"/>
      <c r="D28" s="251"/>
      <c r="E28" s="14"/>
      <c r="F28" s="46"/>
      <c r="G28" s="20">
        <f>SUM(G12:G27)</f>
        <v>9.8</v>
      </c>
      <c r="H28" s="81">
        <f t="shared" si="0"/>
        <v>422349</v>
      </c>
    </row>
    <row r="29" spans="1:8" ht="15.75" customHeight="1">
      <c r="A29" s="79" t="s">
        <v>137</v>
      </c>
      <c r="B29" s="235" t="s">
        <v>200</v>
      </c>
      <c r="C29" s="236"/>
      <c r="D29" s="236"/>
      <c r="E29" s="237"/>
      <c r="F29" s="51" t="s">
        <v>201</v>
      </c>
      <c r="G29" s="23">
        <v>1.09</v>
      </c>
      <c r="H29" s="81">
        <v>56400</v>
      </c>
    </row>
    <row r="30" spans="1:8" ht="15.75" customHeight="1">
      <c r="A30" s="79"/>
      <c r="B30" s="252" t="s">
        <v>202</v>
      </c>
      <c r="C30" s="252"/>
      <c r="D30" s="252"/>
      <c r="E30" s="252"/>
      <c r="F30" s="252"/>
      <c r="G30" s="20">
        <f>SUM(G28:G29)</f>
        <v>10.89</v>
      </c>
      <c r="H30" s="106">
        <f t="shared" si="0"/>
        <v>469324</v>
      </c>
    </row>
    <row r="31" spans="1:8" ht="15.75" customHeight="1" thickBot="1">
      <c r="A31" s="107">
        <v>3</v>
      </c>
      <c r="B31" s="253" t="s">
        <v>203</v>
      </c>
      <c r="C31" s="254"/>
      <c r="D31" s="255"/>
      <c r="E31" s="108"/>
      <c r="F31" s="109" t="s">
        <v>201</v>
      </c>
      <c r="G31" s="84">
        <v>0.78</v>
      </c>
      <c r="H31" s="110">
        <f>ROUND($E$2*G31*12,0)</f>
        <v>33616</v>
      </c>
    </row>
    <row r="32" spans="1:8" ht="47.25" customHeight="1">
      <c r="A32" s="111"/>
      <c r="B32" s="256" t="s">
        <v>220</v>
      </c>
      <c r="C32" s="256"/>
      <c r="D32" s="256"/>
      <c r="E32" s="256"/>
      <c r="F32" s="113"/>
      <c r="G32" s="85"/>
      <c r="H32" s="114"/>
    </row>
    <row r="33" spans="1:9" ht="18.75" customHeight="1">
      <c r="A33" s="115" t="s">
        <v>204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212" t="s">
        <v>221</v>
      </c>
      <c r="B34" s="212"/>
      <c r="C34" s="212"/>
      <c r="D34" s="212"/>
      <c r="E34" s="212"/>
      <c r="F34" s="212"/>
      <c r="G34" s="212"/>
      <c r="H34" s="212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206</v>
      </c>
    </row>
    <row r="37" spans="2:4" ht="15.75" customHeight="1">
      <c r="B37" s="116"/>
      <c r="C37" s="116"/>
      <c r="D37" s="116"/>
    </row>
  </sheetData>
  <sheetProtection/>
  <mergeCells count="28">
    <mergeCell ref="A1:H1"/>
    <mergeCell ref="B6:D6"/>
    <mergeCell ref="B7:F7"/>
    <mergeCell ref="B8:F8"/>
    <mergeCell ref="B14:D14"/>
    <mergeCell ref="B15:D15"/>
    <mergeCell ref="B16:D16"/>
    <mergeCell ref="B17:D17"/>
    <mergeCell ref="B9:F9"/>
    <mergeCell ref="B10:F10"/>
    <mergeCell ref="B12:D12"/>
    <mergeCell ref="B13:D13"/>
    <mergeCell ref="B22:D22"/>
    <mergeCell ref="B23:D23"/>
    <mergeCell ref="B24:D24"/>
    <mergeCell ref="B25:D25"/>
    <mergeCell ref="B18:D18"/>
    <mergeCell ref="B19:D19"/>
    <mergeCell ref="B20:D20"/>
    <mergeCell ref="B21:D21"/>
    <mergeCell ref="B30:F30"/>
    <mergeCell ref="B31:D31"/>
    <mergeCell ref="A34:H34"/>
    <mergeCell ref="B26:D26"/>
    <mergeCell ref="B27:D27"/>
    <mergeCell ref="B28:D28"/>
    <mergeCell ref="B29:E29"/>
    <mergeCell ref="B32:E32"/>
  </mergeCells>
  <printOptions/>
  <pageMargins left="0.79" right="0" top="0" bottom="0" header="0.5118110236220472" footer="0.5118110236220472"/>
  <pageSetup horizontalDpi="600" verticalDpi="600" orientation="portrait" paperSize="9" scale="95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7">
      <selection activeCell="H35" sqref="H35"/>
    </sheetView>
  </sheetViews>
  <sheetFormatPr defaultColWidth="9.00390625" defaultRowHeight="15.75"/>
  <cols>
    <col min="1" max="1" width="7.00390625" style="0" customWidth="1"/>
    <col min="2" max="2" width="27.50390625" style="0" customWidth="1"/>
    <col min="3" max="3" width="7.875" style="0" customWidth="1"/>
    <col min="4" max="4" width="15.125" style="0" customWidth="1"/>
    <col min="5" max="5" width="15.875" style="0" customWidth="1"/>
    <col min="6" max="6" width="12.50390625" style="0" hidden="1" customWidth="1"/>
    <col min="7" max="7" width="13.375" style="0" customWidth="1"/>
    <col min="8" max="8" width="13.125" style="0" customWidth="1"/>
  </cols>
  <sheetData>
    <row r="1" spans="3:8" ht="63" customHeight="1">
      <c r="C1" s="259" t="s">
        <v>222</v>
      </c>
      <c r="D1" s="259"/>
      <c r="E1" s="259"/>
      <c r="F1" s="259"/>
      <c r="G1" s="259"/>
      <c r="H1" s="259"/>
    </row>
    <row r="3" spans="1:8" ht="40.5" customHeight="1">
      <c r="A3" s="195" t="s">
        <v>223</v>
      </c>
      <c r="B3" s="195"/>
      <c r="C3" s="195"/>
      <c r="D3" s="195"/>
      <c r="E3" s="195"/>
      <c r="F3" s="195"/>
      <c r="G3" s="195"/>
      <c r="H3" s="195"/>
    </row>
    <row r="4" spans="1:7" ht="19.5">
      <c r="A4" s="136"/>
      <c r="B4" s="136"/>
      <c r="C4" s="136"/>
      <c r="D4" s="136"/>
      <c r="E4" s="136"/>
      <c r="F4" s="136"/>
      <c r="G4" s="136"/>
    </row>
    <row r="5" spans="1:8" ht="31.5" customHeight="1">
      <c r="A5" s="260" t="s">
        <v>224</v>
      </c>
      <c r="B5" s="260"/>
      <c r="C5" s="260"/>
      <c r="D5" s="260"/>
      <c r="E5" s="260"/>
      <c r="F5" s="260"/>
      <c r="G5" s="260"/>
      <c r="H5" s="260"/>
    </row>
    <row r="6" spans="1:6" ht="18.75">
      <c r="A6" s="1" t="s">
        <v>139</v>
      </c>
      <c r="B6" s="1" t="s">
        <v>84</v>
      </c>
      <c r="C6" s="2"/>
      <c r="D6" s="2" t="s">
        <v>0</v>
      </c>
      <c r="E6" s="26">
        <v>3591.4</v>
      </c>
      <c r="F6" s="2"/>
    </row>
    <row r="7" spans="2:6" ht="15.75">
      <c r="B7" s="3" t="s">
        <v>1</v>
      </c>
      <c r="C7" s="44">
        <v>5</v>
      </c>
      <c r="D7" s="2" t="s">
        <v>2</v>
      </c>
      <c r="E7" s="27">
        <v>80</v>
      </c>
      <c r="F7" s="2"/>
    </row>
    <row r="8" spans="2:7" ht="15.75">
      <c r="B8" s="3" t="s">
        <v>3</v>
      </c>
      <c r="C8" s="4">
        <v>4</v>
      </c>
      <c r="D8" s="2" t="s">
        <v>4</v>
      </c>
      <c r="E8" s="2" t="s">
        <v>16</v>
      </c>
      <c r="F8" s="2"/>
      <c r="G8" s="2"/>
    </row>
    <row r="9" spans="2:7" ht="16.5" thickBot="1">
      <c r="B9" s="3"/>
      <c r="C9" s="4"/>
      <c r="D9" s="2" t="s">
        <v>5</v>
      </c>
      <c r="E9" s="2" t="s">
        <v>16</v>
      </c>
      <c r="F9" s="2"/>
      <c r="G9" s="2"/>
    </row>
    <row r="10" spans="1:8" ht="104.25" customHeight="1">
      <c r="A10" s="77" t="s">
        <v>55</v>
      </c>
      <c r="B10" s="245" t="s">
        <v>142</v>
      </c>
      <c r="C10" s="246"/>
      <c r="D10" s="247"/>
      <c r="E10" s="78" t="s">
        <v>6</v>
      </c>
      <c r="F10" s="78" t="s">
        <v>7</v>
      </c>
      <c r="G10" s="139" t="s">
        <v>225</v>
      </c>
      <c r="H10" s="140" t="s">
        <v>226</v>
      </c>
    </row>
    <row r="11" spans="1:8" ht="25.5">
      <c r="A11" s="137">
        <v>1</v>
      </c>
      <c r="B11" s="218">
        <v>2</v>
      </c>
      <c r="C11" s="219"/>
      <c r="D11" s="261"/>
      <c r="E11" s="141">
        <v>3</v>
      </c>
      <c r="F11" s="138"/>
      <c r="G11" s="144">
        <v>4</v>
      </c>
      <c r="H11" s="142" t="s">
        <v>227</v>
      </c>
    </row>
    <row r="12" spans="1:8" ht="15.75" hidden="1">
      <c r="A12" s="79">
        <v>1</v>
      </c>
      <c r="B12" s="248" t="s">
        <v>133</v>
      </c>
      <c r="C12" s="248"/>
      <c r="D12" s="248"/>
      <c r="E12" s="248"/>
      <c r="F12" s="248"/>
      <c r="G12" s="80"/>
      <c r="H12" s="104"/>
    </row>
    <row r="13" spans="1:8" ht="15.75" hidden="1">
      <c r="A13" s="79"/>
      <c r="B13" s="200" t="s">
        <v>197</v>
      </c>
      <c r="C13" s="200"/>
      <c r="D13" s="200"/>
      <c r="E13" s="200"/>
      <c r="F13" s="200"/>
      <c r="G13" s="23">
        <f>G35</f>
        <v>11.21</v>
      </c>
      <c r="H13" s="81">
        <f>ROUND(E6*G13*12,2)</f>
        <v>483115.13</v>
      </c>
    </row>
    <row r="14" spans="1:8" ht="15.75" hidden="1">
      <c r="A14" s="79"/>
      <c r="B14" s="244" t="s">
        <v>134</v>
      </c>
      <c r="C14" s="244"/>
      <c r="D14" s="244"/>
      <c r="E14" s="244"/>
      <c r="F14" s="244"/>
      <c r="G14" s="22">
        <v>0.78</v>
      </c>
      <c r="H14" s="104">
        <f>ROUND($E$2*G14*12,0)</f>
        <v>0</v>
      </c>
    </row>
    <row r="15" spans="1:8" ht="18.75">
      <c r="A15" s="79">
        <v>1</v>
      </c>
      <c r="B15" s="203" t="s">
        <v>68</v>
      </c>
      <c r="C15" s="203"/>
      <c r="D15" s="203"/>
      <c r="E15" s="203"/>
      <c r="F15" s="203"/>
      <c r="G15" s="45"/>
      <c r="H15" s="104"/>
    </row>
    <row r="16" spans="1:8" ht="15.75">
      <c r="A16" s="79"/>
      <c r="B16" s="18" t="s">
        <v>69</v>
      </c>
      <c r="C16" s="18"/>
      <c r="D16" s="18"/>
      <c r="E16" s="18"/>
      <c r="F16" s="5"/>
      <c r="G16" s="91"/>
      <c r="H16" s="104"/>
    </row>
    <row r="17" spans="1:8" ht="39.75" customHeight="1">
      <c r="A17" s="105"/>
      <c r="B17" s="242" t="s">
        <v>212</v>
      </c>
      <c r="C17" s="242"/>
      <c r="D17" s="242"/>
      <c r="E17" s="95" t="s">
        <v>32</v>
      </c>
      <c r="F17" s="82" t="s">
        <v>24</v>
      </c>
      <c r="G17" s="47">
        <v>1.12</v>
      </c>
      <c r="H17" s="81">
        <f>ROUND($E$6*G17*6,0)</f>
        <v>24134</v>
      </c>
    </row>
    <row r="18" spans="1:8" ht="26.25" customHeight="1">
      <c r="A18" s="105"/>
      <c r="B18" s="242" t="s">
        <v>17</v>
      </c>
      <c r="C18" s="242"/>
      <c r="D18" s="242"/>
      <c r="E18" s="95" t="s">
        <v>32</v>
      </c>
      <c r="F18" s="82" t="s">
        <v>19</v>
      </c>
      <c r="G18" s="47">
        <v>0.3</v>
      </c>
      <c r="H18" s="81">
        <f aca="true" t="shared" si="0" ref="H18:H36">ROUND($E$6*G18*6,0)</f>
        <v>6465</v>
      </c>
    </row>
    <row r="19" spans="1:8" ht="26.25" customHeight="1">
      <c r="A19" s="105"/>
      <c r="B19" s="240" t="s">
        <v>23</v>
      </c>
      <c r="C19" s="240"/>
      <c r="D19" s="240"/>
      <c r="E19" s="96" t="s">
        <v>153</v>
      </c>
      <c r="F19" s="46" t="s">
        <v>20</v>
      </c>
      <c r="G19" s="47">
        <v>0.41</v>
      </c>
      <c r="H19" s="81">
        <f t="shared" si="0"/>
        <v>8835</v>
      </c>
    </row>
    <row r="20" spans="1:8" ht="26.25" customHeight="1">
      <c r="A20" s="105"/>
      <c r="B20" s="243" t="s">
        <v>31</v>
      </c>
      <c r="C20" s="243"/>
      <c r="D20" s="243"/>
      <c r="E20" s="97" t="s">
        <v>9</v>
      </c>
      <c r="F20" s="83" t="s">
        <v>10</v>
      </c>
      <c r="G20" s="47">
        <v>0.54</v>
      </c>
      <c r="H20" s="81">
        <f t="shared" si="0"/>
        <v>11636</v>
      </c>
    </row>
    <row r="21" spans="1:8" ht="72.75" customHeight="1">
      <c r="A21" s="105"/>
      <c r="B21" s="240" t="s">
        <v>27</v>
      </c>
      <c r="C21" s="240"/>
      <c r="D21" s="240"/>
      <c r="E21" s="96" t="s">
        <v>154</v>
      </c>
      <c r="F21" s="46" t="s">
        <v>25</v>
      </c>
      <c r="G21" s="47">
        <v>0.13</v>
      </c>
      <c r="H21" s="81">
        <f t="shared" si="0"/>
        <v>2801</v>
      </c>
    </row>
    <row r="22" spans="1:8" ht="38.25" customHeight="1">
      <c r="A22" s="105"/>
      <c r="B22" s="240" t="s">
        <v>11</v>
      </c>
      <c r="C22" s="240"/>
      <c r="D22" s="240"/>
      <c r="E22" s="96" t="s">
        <v>9</v>
      </c>
      <c r="F22" s="46" t="s">
        <v>12</v>
      </c>
      <c r="G22" s="47">
        <v>0</v>
      </c>
      <c r="H22" s="81">
        <f t="shared" si="0"/>
        <v>0</v>
      </c>
    </row>
    <row r="23" spans="1:8" ht="25.5" customHeight="1">
      <c r="A23" s="105"/>
      <c r="B23" s="240" t="s">
        <v>26</v>
      </c>
      <c r="C23" s="241"/>
      <c r="D23" s="241"/>
      <c r="E23" s="98" t="s">
        <v>13</v>
      </c>
      <c r="F23" s="45" t="s">
        <v>198</v>
      </c>
      <c r="G23" s="47">
        <v>0.05</v>
      </c>
      <c r="H23" s="81">
        <f t="shared" si="0"/>
        <v>1077</v>
      </c>
    </row>
    <row r="24" spans="1:8" ht="36.75" customHeight="1">
      <c r="A24" s="105"/>
      <c r="B24" s="240" t="s">
        <v>155</v>
      </c>
      <c r="C24" s="240"/>
      <c r="D24" s="240"/>
      <c r="E24" s="95" t="s">
        <v>36</v>
      </c>
      <c r="F24" s="46" t="s">
        <v>156</v>
      </c>
      <c r="G24" s="47">
        <v>2.28</v>
      </c>
      <c r="H24" s="81">
        <f t="shared" si="0"/>
        <v>49130</v>
      </c>
    </row>
    <row r="25" spans="1:8" ht="56.25" customHeight="1">
      <c r="A25" s="105"/>
      <c r="B25" s="242" t="s">
        <v>15</v>
      </c>
      <c r="C25" s="242"/>
      <c r="D25" s="242"/>
      <c r="E25" s="95" t="s">
        <v>136</v>
      </c>
      <c r="F25" s="46" t="s">
        <v>156</v>
      </c>
      <c r="G25" s="47">
        <v>0.47</v>
      </c>
      <c r="H25" s="81">
        <f t="shared" si="0"/>
        <v>10128</v>
      </c>
    </row>
    <row r="26" spans="1:8" ht="32.25" customHeight="1">
      <c r="A26" s="105"/>
      <c r="B26" s="240" t="s">
        <v>37</v>
      </c>
      <c r="C26" s="241"/>
      <c r="D26" s="241"/>
      <c r="E26" s="95" t="s">
        <v>36</v>
      </c>
      <c r="F26" s="46" t="s">
        <v>156</v>
      </c>
      <c r="G26" s="47">
        <f>3.67-G27-G28</f>
        <v>3.67</v>
      </c>
      <c r="H26" s="81">
        <f t="shared" si="0"/>
        <v>79083</v>
      </c>
    </row>
    <row r="27" spans="1:8" ht="32.25" customHeight="1">
      <c r="A27" s="105"/>
      <c r="B27" s="240" t="s">
        <v>199</v>
      </c>
      <c r="C27" s="240"/>
      <c r="D27" s="240"/>
      <c r="E27" s="96" t="s">
        <v>9</v>
      </c>
      <c r="F27" s="46" t="s">
        <v>156</v>
      </c>
      <c r="G27" s="47">
        <v>0</v>
      </c>
      <c r="H27" s="81">
        <f t="shared" si="0"/>
        <v>0</v>
      </c>
    </row>
    <row r="28" spans="1:8" ht="32.25" customHeight="1">
      <c r="A28" s="105"/>
      <c r="B28" s="240" t="s">
        <v>158</v>
      </c>
      <c r="C28" s="240"/>
      <c r="D28" s="240"/>
      <c r="E28" s="96" t="s">
        <v>9</v>
      </c>
      <c r="F28" s="46" t="s">
        <v>156</v>
      </c>
      <c r="G28" s="47">
        <v>0</v>
      </c>
      <c r="H28" s="81">
        <f t="shared" si="0"/>
        <v>0</v>
      </c>
    </row>
    <row r="29" spans="1:8" ht="32.25" customHeight="1">
      <c r="A29" s="105"/>
      <c r="B29" s="241" t="s">
        <v>21</v>
      </c>
      <c r="C29" s="241"/>
      <c r="D29" s="241"/>
      <c r="E29" s="95" t="s">
        <v>36</v>
      </c>
      <c r="F29" s="46" t="s">
        <v>156</v>
      </c>
      <c r="G29" s="47">
        <v>1.12</v>
      </c>
      <c r="H29" s="81">
        <f t="shared" si="0"/>
        <v>24134</v>
      </c>
    </row>
    <row r="30" spans="1:8" ht="15.75" hidden="1">
      <c r="A30" s="22"/>
      <c r="B30" s="232" t="s">
        <v>159</v>
      </c>
      <c r="C30" s="233"/>
      <c r="D30" s="234"/>
      <c r="E30" s="96" t="s">
        <v>9</v>
      </c>
      <c r="F30" s="46"/>
      <c r="G30" s="47"/>
      <c r="H30" s="81">
        <f t="shared" si="0"/>
        <v>0</v>
      </c>
    </row>
    <row r="31" spans="1:8" ht="32.25" customHeight="1" hidden="1">
      <c r="A31" s="22"/>
      <c r="B31" s="232" t="s">
        <v>160</v>
      </c>
      <c r="C31" s="233"/>
      <c r="D31" s="234"/>
      <c r="E31" s="95" t="s">
        <v>36</v>
      </c>
      <c r="F31" s="46"/>
      <c r="G31" s="47"/>
      <c r="H31" s="81">
        <f t="shared" si="0"/>
        <v>0</v>
      </c>
    </row>
    <row r="32" spans="1:8" ht="15.75">
      <c r="A32" s="105"/>
      <c r="B32" s="227"/>
      <c r="C32" s="228"/>
      <c r="D32" s="229"/>
      <c r="E32" s="95"/>
      <c r="F32" s="46"/>
      <c r="G32" s="47"/>
      <c r="H32" s="81"/>
    </row>
    <row r="33" spans="1:8" ht="15.75">
      <c r="A33" s="105"/>
      <c r="B33" s="249" t="s">
        <v>30</v>
      </c>
      <c r="C33" s="250"/>
      <c r="D33" s="251"/>
      <c r="E33" s="14"/>
      <c r="F33" s="46"/>
      <c r="G33" s="20">
        <f>SUM(G17:G32)</f>
        <v>10.09</v>
      </c>
      <c r="H33" s="81">
        <f t="shared" si="0"/>
        <v>217423</v>
      </c>
    </row>
    <row r="34" spans="1:8" ht="17.25" customHeight="1">
      <c r="A34" s="79">
        <v>1.2</v>
      </c>
      <c r="B34" s="235" t="s">
        <v>228</v>
      </c>
      <c r="C34" s="236"/>
      <c r="D34" s="237"/>
      <c r="E34" s="143" t="s">
        <v>229</v>
      </c>
      <c r="F34" s="51" t="s">
        <v>201</v>
      </c>
      <c r="G34" s="23">
        <v>1.12</v>
      </c>
      <c r="H34" s="81">
        <f>ROUND($E$6*G34*6,0)</f>
        <v>24134</v>
      </c>
    </row>
    <row r="35" spans="1:8" ht="15.75">
      <c r="A35" s="79">
        <v>1</v>
      </c>
      <c r="B35" s="252" t="s">
        <v>202</v>
      </c>
      <c r="C35" s="252"/>
      <c r="D35" s="252"/>
      <c r="E35" s="252"/>
      <c r="F35" s="252"/>
      <c r="G35" s="20">
        <f>SUM(G33:G34)</f>
        <v>11.21</v>
      </c>
      <c r="H35" s="81">
        <f t="shared" si="0"/>
        <v>241558</v>
      </c>
    </row>
    <row r="36" spans="1:8" ht="18.75" customHeight="1" thickBot="1">
      <c r="A36" s="107">
        <v>1.3</v>
      </c>
      <c r="B36" s="258" t="s">
        <v>230</v>
      </c>
      <c r="C36" s="258"/>
      <c r="D36" s="258"/>
      <c r="E36" s="143" t="s">
        <v>229</v>
      </c>
      <c r="F36" s="46" t="s">
        <v>201</v>
      </c>
      <c r="G36" s="84">
        <v>0.8</v>
      </c>
      <c r="H36" s="81">
        <f t="shared" si="0"/>
        <v>17239</v>
      </c>
    </row>
    <row r="38" spans="1:8" ht="15.75">
      <c r="A38" s="257" t="s">
        <v>231</v>
      </c>
      <c r="B38" s="257"/>
      <c r="C38" s="257"/>
      <c r="D38" s="257"/>
      <c r="E38" s="33" t="s">
        <v>233</v>
      </c>
      <c r="F38" s="33"/>
      <c r="G38" s="33"/>
      <c r="H38" s="33"/>
    </row>
    <row r="40" spans="1:5" ht="15.75">
      <c r="A40" s="257" t="s">
        <v>232</v>
      </c>
      <c r="B40" s="257"/>
      <c r="C40" s="257"/>
      <c r="D40" s="257"/>
      <c r="E40" t="s">
        <v>234</v>
      </c>
    </row>
  </sheetData>
  <sheetProtection/>
  <mergeCells count="31">
    <mergeCell ref="C1:H1"/>
    <mergeCell ref="A3:H3"/>
    <mergeCell ref="A5:H5"/>
    <mergeCell ref="B11:D11"/>
    <mergeCell ref="B27:D27"/>
    <mergeCell ref="A38:D38"/>
    <mergeCell ref="A40:D40"/>
    <mergeCell ref="B36:D36"/>
    <mergeCell ref="B34:D34"/>
    <mergeCell ref="B32:D32"/>
    <mergeCell ref="B33:D33"/>
    <mergeCell ref="B20:D20"/>
    <mergeCell ref="B21:D21"/>
    <mergeCell ref="B35:F35"/>
    <mergeCell ref="B28:D28"/>
    <mergeCell ref="B29:D29"/>
    <mergeCell ref="B30:D30"/>
    <mergeCell ref="B31:D31"/>
    <mergeCell ref="B24:D24"/>
    <mergeCell ref="B25:D25"/>
    <mergeCell ref="B26:D26"/>
    <mergeCell ref="B22:D22"/>
    <mergeCell ref="B23:D23"/>
    <mergeCell ref="B10:D10"/>
    <mergeCell ref="B12:F12"/>
    <mergeCell ref="B13:F13"/>
    <mergeCell ref="B14:F14"/>
    <mergeCell ref="B15:F15"/>
    <mergeCell ref="B17:D17"/>
    <mergeCell ref="B18:D18"/>
    <mergeCell ref="B19:D19"/>
  </mergeCells>
  <printOptions/>
  <pageMargins left="0.86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C1">
      <selection activeCell="O6" sqref="O6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5.75390625" style="0" customWidth="1"/>
    <col min="6" max="6" width="6.37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1.875" style="0" customWidth="1"/>
    <col min="12" max="13" width="0" style="0" hidden="1" customWidth="1"/>
  </cols>
  <sheetData>
    <row r="1" spans="1:11" ht="110.25" customHeight="1">
      <c r="A1" s="195" t="s">
        <v>235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62.25" customHeight="1">
      <c r="A2" s="190" t="s">
        <v>236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9" ht="31.5">
      <c r="A3" s="1" t="s">
        <v>139</v>
      </c>
      <c r="B3" s="1" t="s">
        <v>84</v>
      </c>
      <c r="C3" s="2"/>
      <c r="D3" s="146" t="s">
        <v>237</v>
      </c>
      <c r="E3" s="26">
        <v>3591.4</v>
      </c>
      <c r="F3" s="2"/>
      <c r="H3" s="86"/>
      <c r="I3" s="86"/>
    </row>
    <row r="4" spans="2:6" ht="15.75">
      <c r="B4" s="3" t="s">
        <v>1</v>
      </c>
      <c r="C4" s="44">
        <v>5</v>
      </c>
      <c r="D4" s="2" t="s">
        <v>2</v>
      </c>
      <c r="E4" s="27">
        <v>80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39" customHeight="1">
      <c r="A7" s="21" t="s">
        <v>55</v>
      </c>
      <c r="B7" s="218" t="s">
        <v>142</v>
      </c>
      <c r="C7" s="219"/>
      <c r="D7" s="220"/>
      <c r="E7" s="11" t="s">
        <v>6</v>
      </c>
      <c r="F7" s="11" t="s">
        <v>7</v>
      </c>
      <c r="G7" s="87" t="s">
        <v>238</v>
      </c>
      <c r="H7" s="147" t="s">
        <v>239</v>
      </c>
      <c r="I7" s="221" t="s">
        <v>240</v>
      </c>
      <c r="J7" s="222"/>
      <c r="K7" s="223"/>
      <c r="L7" s="56">
        <v>12</v>
      </c>
      <c r="M7" s="148" t="s">
        <v>241</v>
      </c>
    </row>
    <row r="8" spans="1:11" ht="15.75">
      <c r="A8" s="22">
        <v>1</v>
      </c>
      <c r="B8" s="202"/>
      <c r="C8" s="191"/>
      <c r="D8" s="191"/>
      <c r="E8" s="191"/>
      <c r="F8" s="192"/>
      <c r="G8" s="149"/>
      <c r="H8" s="149"/>
      <c r="I8" s="150" t="s">
        <v>144</v>
      </c>
      <c r="J8" s="90" t="s">
        <v>145</v>
      </c>
      <c r="K8" s="90" t="s">
        <v>146</v>
      </c>
    </row>
    <row r="9" spans="1:11" ht="15.75">
      <c r="A9" s="22"/>
      <c r="B9" s="202" t="s">
        <v>147</v>
      </c>
      <c r="C9" s="191"/>
      <c r="D9" s="191"/>
      <c r="E9" s="191"/>
      <c r="F9" s="192"/>
      <c r="G9" s="57"/>
      <c r="H9" s="57"/>
      <c r="I9" s="57"/>
      <c r="J9" s="57"/>
      <c r="K9" s="90"/>
    </row>
    <row r="10" spans="1:11" ht="15.75" customHeight="1">
      <c r="A10" s="92"/>
      <c r="B10" s="263" t="s">
        <v>148</v>
      </c>
      <c r="C10" s="263"/>
      <c r="D10" s="263"/>
      <c r="E10" s="263"/>
      <c r="F10" s="263"/>
      <c r="G10" s="151"/>
      <c r="H10" s="151"/>
      <c r="I10" s="152">
        <v>459259.58</v>
      </c>
      <c r="J10" s="80"/>
      <c r="K10" s="93">
        <f>I10+J10</f>
        <v>459259.58</v>
      </c>
    </row>
    <row r="11" spans="1:11" ht="15.75" customHeight="1">
      <c r="A11" s="92"/>
      <c r="B11" s="263" t="s">
        <v>149</v>
      </c>
      <c r="C11" s="263"/>
      <c r="D11" s="263"/>
      <c r="E11" s="263"/>
      <c r="F11" s="263"/>
      <c r="G11" s="151"/>
      <c r="H11" s="151"/>
      <c r="I11" s="153">
        <v>29136.1</v>
      </c>
      <c r="J11" s="80"/>
      <c r="K11" s="93">
        <f>I11+J11</f>
        <v>29136.1</v>
      </c>
    </row>
    <row r="12" spans="1:11" ht="15.75" customHeight="1">
      <c r="A12" s="22"/>
      <c r="B12" s="263" t="s">
        <v>150</v>
      </c>
      <c r="C12" s="263"/>
      <c r="D12" s="263"/>
      <c r="E12" s="263"/>
      <c r="F12" s="263"/>
      <c r="G12" s="151"/>
      <c r="H12" s="151"/>
      <c r="I12" s="152"/>
      <c r="J12" s="80">
        <v>0</v>
      </c>
      <c r="K12" s="93">
        <f>I12+J12</f>
        <v>0</v>
      </c>
    </row>
    <row r="13" spans="1:11" ht="15.75">
      <c r="A13" s="22"/>
      <c r="B13" s="263" t="s">
        <v>151</v>
      </c>
      <c r="C13" s="263"/>
      <c r="D13" s="263"/>
      <c r="E13" s="263"/>
      <c r="F13" s="263"/>
      <c r="G13" s="151"/>
      <c r="H13" s="151"/>
      <c r="I13" s="152">
        <v>0</v>
      </c>
      <c r="J13" s="154">
        <v>0</v>
      </c>
      <c r="K13" s="93">
        <f>I13+J13</f>
        <v>0</v>
      </c>
    </row>
    <row r="14" spans="1:11" ht="15.75" customHeight="1">
      <c r="A14" s="22"/>
      <c r="B14" s="200" t="s">
        <v>152</v>
      </c>
      <c r="C14" s="200"/>
      <c r="D14" s="200"/>
      <c r="E14" s="200"/>
      <c r="F14" s="200"/>
      <c r="G14" s="151"/>
      <c r="H14" s="151"/>
      <c r="I14" s="36">
        <f>SUM(I10:I12)</f>
        <v>488395.68</v>
      </c>
      <c r="J14" s="155">
        <f>SUM(J10:J12)</f>
        <v>0</v>
      </c>
      <c r="K14" s="36">
        <f>SUM(K10:K13)</f>
        <v>488395.68</v>
      </c>
    </row>
    <row r="15" spans="1:11" ht="18.75" customHeight="1">
      <c r="A15" s="22">
        <v>2</v>
      </c>
      <c r="B15" s="262" t="s">
        <v>68</v>
      </c>
      <c r="C15" s="262"/>
      <c r="D15" s="262"/>
      <c r="E15" s="262"/>
      <c r="F15" s="262"/>
      <c r="G15" s="151"/>
      <c r="H15" s="151"/>
      <c r="I15" s="152"/>
      <c r="J15" s="80"/>
      <c r="K15" s="34"/>
    </row>
    <row r="16" spans="1:11" ht="15.75">
      <c r="A16" s="22" t="s">
        <v>135</v>
      </c>
      <c r="B16" s="156" t="s">
        <v>69</v>
      </c>
      <c r="C16" s="156"/>
      <c r="D16" s="156"/>
      <c r="E16" s="156"/>
      <c r="F16" s="157"/>
      <c r="G16" s="150"/>
      <c r="H16" s="150"/>
      <c r="I16" s="150"/>
      <c r="J16" s="145"/>
      <c r="K16" s="90"/>
    </row>
    <row r="17" spans="1:11" ht="33.75" customHeight="1">
      <c r="A17" s="94"/>
      <c r="B17" s="265" t="s">
        <v>242</v>
      </c>
      <c r="C17" s="265"/>
      <c r="D17" s="265"/>
      <c r="E17" s="95" t="s">
        <v>32</v>
      </c>
      <c r="F17" s="158" t="s">
        <v>24</v>
      </c>
      <c r="G17" s="159">
        <v>1.06</v>
      </c>
      <c r="H17" s="159">
        <v>1.12</v>
      </c>
      <c r="I17" s="160">
        <f>ROUND($E$3*G17*6,2)+ROUND($E$3*H17*($L$7-6),2)</f>
        <v>46975.509999999995</v>
      </c>
      <c r="J17" s="161"/>
      <c r="K17" s="162">
        <f>SUM(I17:J17)</f>
        <v>46975.509999999995</v>
      </c>
    </row>
    <row r="18" spans="1:11" ht="17.25" customHeight="1">
      <c r="A18" s="22"/>
      <c r="B18" s="266" t="s">
        <v>17</v>
      </c>
      <c r="C18" s="266"/>
      <c r="D18" s="266"/>
      <c r="E18" s="95" t="s">
        <v>32</v>
      </c>
      <c r="F18" s="158" t="s">
        <v>19</v>
      </c>
      <c r="G18" s="159">
        <v>0.28</v>
      </c>
      <c r="H18" s="159">
        <v>0.3</v>
      </c>
      <c r="I18" s="160">
        <f>ROUND($E$3*G18*6,2)+ROUND($E$3*H18*($L$7-6),2)</f>
        <v>12498.07</v>
      </c>
      <c r="J18" s="161"/>
      <c r="K18" s="162">
        <f>SUM(I18:J18)</f>
        <v>12498.07</v>
      </c>
    </row>
    <row r="19" spans="1:11" ht="20.25" customHeight="1">
      <c r="A19" s="22"/>
      <c r="B19" s="264" t="s">
        <v>23</v>
      </c>
      <c r="C19" s="264"/>
      <c r="D19" s="264"/>
      <c r="E19" s="96" t="s">
        <v>153</v>
      </c>
      <c r="F19" s="51" t="s">
        <v>20</v>
      </c>
      <c r="G19" s="159">
        <v>0.39</v>
      </c>
      <c r="H19" s="159">
        <v>0.41</v>
      </c>
      <c r="I19" s="160">
        <f>K19-J19</f>
        <v>8590.68</v>
      </c>
      <c r="J19" s="161"/>
      <c r="K19" s="163">
        <v>8590.68</v>
      </c>
    </row>
    <row r="20" spans="1:11" ht="20.25" customHeight="1">
      <c r="A20" s="94"/>
      <c r="B20" s="265" t="s">
        <v>31</v>
      </c>
      <c r="C20" s="265"/>
      <c r="D20" s="265"/>
      <c r="E20" s="97" t="s">
        <v>9</v>
      </c>
      <c r="F20" s="164" t="s">
        <v>10</v>
      </c>
      <c r="G20" s="159">
        <v>0.51</v>
      </c>
      <c r="H20" s="159">
        <v>0.54</v>
      </c>
      <c r="I20" s="160">
        <f>ROUND($E$3*G20*6,2)+ROUND($E$3*H20*($L$7-6),2)</f>
        <v>22625.82</v>
      </c>
      <c r="J20" s="161"/>
      <c r="K20" s="162">
        <f>SUM(I20:J20)</f>
        <v>22625.82</v>
      </c>
    </row>
    <row r="21" spans="1:11" ht="49.5" customHeight="1">
      <c r="A21" s="22"/>
      <c r="B21" s="264" t="s">
        <v>27</v>
      </c>
      <c r="C21" s="264"/>
      <c r="D21" s="264"/>
      <c r="E21" s="96" t="s">
        <v>154</v>
      </c>
      <c r="F21" s="51" t="s">
        <v>25</v>
      </c>
      <c r="G21" s="159">
        <v>0.12</v>
      </c>
      <c r="H21" s="159">
        <v>0.13</v>
      </c>
      <c r="I21" s="160">
        <f>K21-J21</f>
        <v>5666.72</v>
      </c>
      <c r="J21" s="161"/>
      <c r="K21" s="163">
        <v>5666.72</v>
      </c>
    </row>
    <row r="22" spans="1:11" ht="20.25" customHeight="1">
      <c r="A22" s="94"/>
      <c r="B22" s="264" t="s">
        <v>11</v>
      </c>
      <c r="C22" s="264"/>
      <c r="D22" s="264"/>
      <c r="E22" s="96" t="s">
        <v>9</v>
      </c>
      <c r="F22" s="51" t="s">
        <v>12</v>
      </c>
      <c r="G22" s="159">
        <v>0</v>
      </c>
      <c r="H22" s="165">
        <v>0</v>
      </c>
      <c r="I22" s="160">
        <f>ROUND($E$3*G22*6,2)+ROUND($E$3*H22*($L$7-6),2)</f>
        <v>0</v>
      </c>
      <c r="J22" s="161"/>
      <c r="K22" s="162">
        <f>SUM(I22:J22)</f>
        <v>0</v>
      </c>
    </row>
    <row r="23" spans="1:11" ht="20.25" customHeight="1">
      <c r="A23" s="94"/>
      <c r="B23" s="264" t="s">
        <v>26</v>
      </c>
      <c r="C23" s="267"/>
      <c r="D23" s="267"/>
      <c r="E23" s="98" t="s">
        <v>13</v>
      </c>
      <c r="F23" s="29" t="s">
        <v>14</v>
      </c>
      <c r="G23" s="159">
        <v>0.05</v>
      </c>
      <c r="H23" s="159">
        <v>0.05</v>
      </c>
      <c r="I23" s="160">
        <f>K23-J23</f>
        <v>9140.95</v>
      </c>
      <c r="J23" s="161"/>
      <c r="K23" s="163">
        <v>9140.95</v>
      </c>
    </row>
    <row r="24" spans="1:11" ht="51" customHeight="1">
      <c r="A24" s="22"/>
      <c r="B24" s="264" t="s">
        <v>155</v>
      </c>
      <c r="C24" s="264"/>
      <c r="D24" s="264"/>
      <c r="E24" s="95" t="s">
        <v>243</v>
      </c>
      <c r="F24" s="99" t="s">
        <v>244</v>
      </c>
      <c r="G24" s="159">
        <v>2.15</v>
      </c>
      <c r="H24" s="159">
        <v>2.28</v>
      </c>
      <c r="I24" s="160">
        <f aca="true" t="shared" si="0" ref="I24:I29">ROUND($E$3*G24*6,2)+ROUND($E$3*H24*($L$7-6),2)</f>
        <v>95459.41</v>
      </c>
      <c r="J24" s="161"/>
      <c r="K24" s="162">
        <f>SUM(I24:J24)</f>
        <v>95459.41</v>
      </c>
    </row>
    <row r="25" spans="1:11" ht="26.25" customHeight="1">
      <c r="A25" s="22"/>
      <c r="B25" s="266" t="s">
        <v>15</v>
      </c>
      <c r="C25" s="266"/>
      <c r="D25" s="266"/>
      <c r="E25" s="95" t="s">
        <v>36</v>
      </c>
      <c r="F25" s="99" t="s">
        <v>244</v>
      </c>
      <c r="G25" s="159">
        <v>0.44</v>
      </c>
      <c r="H25" s="159">
        <v>0.47</v>
      </c>
      <c r="I25" s="160">
        <f>K25-J25</f>
        <v>19609.08</v>
      </c>
      <c r="J25" s="161"/>
      <c r="K25" s="162">
        <v>19609.08</v>
      </c>
    </row>
    <row r="26" spans="1:11" ht="30" customHeight="1">
      <c r="A26" s="22"/>
      <c r="B26" s="274" t="s">
        <v>245</v>
      </c>
      <c r="C26" s="269"/>
      <c r="D26" s="270"/>
      <c r="E26" s="95" t="s">
        <v>36</v>
      </c>
      <c r="F26" s="99" t="s">
        <v>244</v>
      </c>
      <c r="G26" s="166">
        <f>3.46-G27-G28</f>
        <v>3.46</v>
      </c>
      <c r="H26" s="159">
        <f>3.67-H27-H28</f>
        <v>3.67</v>
      </c>
      <c r="I26" s="160">
        <f t="shared" si="0"/>
        <v>153640.09000000003</v>
      </c>
      <c r="J26" s="167"/>
      <c r="K26" s="162">
        <f>SUM(I26:J26)</f>
        <v>153640.09000000003</v>
      </c>
    </row>
    <row r="27" spans="1:11" ht="26.25" customHeight="1">
      <c r="A27" s="94"/>
      <c r="B27" s="264" t="s">
        <v>157</v>
      </c>
      <c r="C27" s="264"/>
      <c r="D27" s="264"/>
      <c r="E27" s="96" t="s">
        <v>9</v>
      </c>
      <c r="F27" s="99" t="s">
        <v>244</v>
      </c>
      <c r="G27" s="166">
        <v>0</v>
      </c>
      <c r="H27" s="159">
        <v>0</v>
      </c>
      <c r="I27" s="160">
        <f t="shared" si="0"/>
        <v>0</v>
      </c>
      <c r="J27" s="167"/>
      <c r="K27" s="162">
        <f>SUM(I27:J27)</f>
        <v>0</v>
      </c>
    </row>
    <row r="28" spans="1:11" ht="17.25" customHeight="1">
      <c r="A28" s="22"/>
      <c r="B28" s="264" t="s">
        <v>158</v>
      </c>
      <c r="C28" s="264"/>
      <c r="D28" s="264"/>
      <c r="E28" s="96" t="s">
        <v>9</v>
      </c>
      <c r="F28" s="99" t="s">
        <v>244</v>
      </c>
      <c r="G28" s="166">
        <v>0</v>
      </c>
      <c r="H28" s="165">
        <v>0</v>
      </c>
      <c r="I28" s="160">
        <f t="shared" si="0"/>
        <v>0</v>
      </c>
      <c r="J28" s="167"/>
      <c r="K28" s="162">
        <f>SUM(I28:J28)</f>
        <v>0</v>
      </c>
    </row>
    <row r="29" spans="1:11" ht="27.75" customHeight="1">
      <c r="A29" s="22"/>
      <c r="B29" s="267" t="s">
        <v>21</v>
      </c>
      <c r="C29" s="267"/>
      <c r="D29" s="267"/>
      <c r="E29" s="96" t="s">
        <v>36</v>
      </c>
      <c r="F29" s="99" t="s">
        <v>244</v>
      </c>
      <c r="G29" s="29">
        <v>1.06</v>
      </c>
      <c r="H29" s="159">
        <v>1.12</v>
      </c>
      <c r="I29" s="160">
        <f t="shared" si="0"/>
        <v>46975.509999999995</v>
      </c>
      <c r="J29" s="161"/>
      <c r="K29" s="162">
        <f>SUM(I29:J29)</f>
        <v>46975.509999999995</v>
      </c>
    </row>
    <row r="30" spans="1:11" ht="15.75">
      <c r="A30" s="22"/>
      <c r="B30" s="271"/>
      <c r="C30" s="272"/>
      <c r="D30" s="273"/>
      <c r="E30" s="96"/>
      <c r="F30" s="99"/>
      <c r="G30" s="29"/>
      <c r="H30" s="29"/>
      <c r="I30" s="168"/>
      <c r="J30" s="154"/>
      <c r="K30" s="169"/>
    </row>
    <row r="31" spans="1:11" ht="15.75">
      <c r="A31" s="22"/>
      <c r="B31" s="275" t="s">
        <v>30</v>
      </c>
      <c r="C31" s="275"/>
      <c r="D31" s="275"/>
      <c r="E31" s="22"/>
      <c r="F31" s="99"/>
      <c r="G31" s="23">
        <f>SUM(G17:G29)</f>
        <v>9.520000000000001</v>
      </c>
      <c r="H31" s="23">
        <f>SUM(H17:H29)</f>
        <v>10.09</v>
      </c>
      <c r="I31" s="170">
        <f>SUM(I17:I30)</f>
        <v>421181.84</v>
      </c>
      <c r="J31" s="155"/>
      <c r="K31" s="170">
        <f>SUM(K17:K30)</f>
        <v>421181.84</v>
      </c>
    </row>
    <row r="32" spans="1:11" ht="15.75" hidden="1">
      <c r="A32" s="22"/>
      <c r="B32" s="268" t="s">
        <v>159</v>
      </c>
      <c r="C32" s="269"/>
      <c r="D32" s="270"/>
      <c r="E32" s="96" t="s">
        <v>9</v>
      </c>
      <c r="F32" s="99"/>
      <c r="G32" s="29"/>
      <c r="H32" s="29"/>
      <c r="I32" s="168"/>
      <c r="J32" s="154"/>
      <c r="K32" s="169"/>
    </row>
    <row r="33" spans="1:11" ht="21.75" customHeight="1" hidden="1">
      <c r="A33" s="22"/>
      <c r="B33" s="268" t="s">
        <v>160</v>
      </c>
      <c r="C33" s="269"/>
      <c r="D33" s="270"/>
      <c r="E33" s="95" t="s">
        <v>36</v>
      </c>
      <c r="F33" s="99"/>
      <c r="G33" s="29"/>
      <c r="H33" s="29"/>
      <c r="I33" s="168"/>
      <c r="J33" s="154"/>
      <c r="K33" s="169"/>
    </row>
    <row r="34" spans="1:11" ht="27.75" customHeight="1" hidden="1">
      <c r="A34" s="22"/>
      <c r="B34" s="271"/>
      <c r="C34" s="272"/>
      <c r="D34" s="273"/>
      <c r="E34" s="96"/>
      <c r="F34" s="99"/>
      <c r="G34" s="29"/>
      <c r="H34" s="29"/>
      <c r="I34" s="168"/>
      <c r="J34" s="154"/>
      <c r="K34" s="169"/>
    </row>
    <row r="35" spans="1:11" ht="29.25" customHeight="1">
      <c r="A35" s="22" t="s">
        <v>137</v>
      </c>
      <c r="B35" s="235" t="s">
        <v>161</v>
      </c>
      <c r="C35" s="236"/>
      <c r="D35" s="236"/>
      <c r="E35" s="237"/>
      <c r="F35" s="99" t="s">
        <v>244</v>
      </c>
      <c r="G35" s="23">
        <f>I35/E3/6</f>
        <v>14.078307438139257</v>
      </c>
      <c r="H35" s="23">
        <f>I35/E3/6</f>
        <v>14.078307438139257</v>
      </c>
      <c r="I35" s="171">
        <v>303365</v>
      </c>
      <c r="J35" s="172"/>
      <c r="K35" s="170">
        <f>SUM(I35:J35)</f>
        <v>303365</v>
      </c>
    </row>
    <row r="36" spans="1:11" ht="15" customHeight="1">
      <c r="A36" s="25"/>
      <c r="B36" s="239" t="s">
        <v>70</v>
      </c>
      <c r="C36" s="239"/>
      <c r="D36" s="239"/>
      <c r="E36" s="239"/>
      <c r="F36" s="239"/>
      <c r="G36" s="23">
        <f>SUM(G31:G35)</f>
        <v>23.59830743813926</v>
      </c>
      <c r="H36" s="23">
        <f>SUM(H31:H35)</f>
        <v>24.16830743813926</v>
      </c>
      <c r="I36" s="173">
        <f>SUM(I31:I35)</f>
        <v>724546.8400000001</v>
      </c>
      <c r="J36" s="174"/>
      <c r="K36" s="174">
        <f>SUM(K31:K35)</f>
        <v>724546.8400000001</v>
      </c>
    </row>
    <row r="37" spans="1:11" ht="14.25" customHeight="1">
      <c r="A37" s="22" t="s">
        <v>138</v>
      </c>
      <c r="B37" s="239" t="s">
        <v>162</v>
      </c>
      <c r="C37" s="239"/>
      <c r="D37" s="239"/>
      <c r="E37" s="239"/>
      <c r="F37" s="239"/>
      <c r="G37" s="23"/>
      <c r="H37" s="23"/>
      <c r="I37" s="175">
        <v>0</v>
      </c>
      <c r="J37" s="175"/>
      <c r="K37" s="176">
        <f>SUM(I37:J37)</f>
        <v>0</v>
      </c>
    </row>
    <row r="38" spans="1:11" ht="18.75">
      <c r="A38" s="25"/>
      <c r="B38" s="239" t="s">
        <v>163</v>
      </c>
      <c r="C38" s="239"/>
      <c r="D38" s="239"/>
      <c r="E38" s="239"/>
      <c r="F38" s="239"/>
      <c r="G38" s="23">
        <f>SUM(G36:G37)</f>
        <v>23.59830743813926</v>
      </c>
      <c r="H38" s="23">
        <f>SUM(H36:H37)</f>
        <v>24.16830743813926</v>
      </c>
      <c r="I38" s="173">
        <f>SUM(I36:I37)</f>
        <v>724546.8400000001</v>
      </c>
      <c r="J38" s="174"/>
      <c r="K38" s="174">
        <f>SUM(K36:K37)</f>
        <v>724546.8400000001</v>
      </c>
    </row>
    <row r="39" spans="1:11" ht="24.75" customHeight="1">
      <c r="A39" s="22">
        <v>3</v>
      </c>
      <c r="B39" s="276" t="s">
        <v>246</v>
      </c>
      <c r="C39" s="276"/>
      <c r="D39" s="276"/>
      <c r="E39" s="276"/>
      <c r="F39" s="177"/>
      <c r="G39" s="177"/>
      <c r="H39" s="178"/>
      <c r="I39" s="160">
        <f>I14-I38</f>
        <v>-236151.1600000001</v>
      </c>
      <c r="J39" s="160"/>
      <c r="K39" s="155">
        <f>K14-K38</f>
        <v>-236151.1600000001</v>
      </c>
    </row>
    <row r="40" spans="2:11" ht="27" customHeight="1">
      <c r="B40" s="111"/>
      <c r="C40" s="179"/>
      <c r="D40" s="179"/>
      <c r="E40" s="179"/>
      <c r="F40" s="179"/>
      <c r="G40" s="179"/>
      <c r="H40" s="179"/>
      <c r="I40" s="180"/>
      <c r="J40" s="181"/>
      <c r="K40" s="182"/>
    </row>
    <row r="41" spans="3:7" ht="15.75" customHeight="1">
      <c r="C41" s="33"/>
      <c r="G41" s="33"/>
    </row>
    <row r="42" spans="1:7" ht="15.75" customHeight="1">
      <c r="A42" s="75" t="s">
        <v>247</v>
      </c>
      <c r="D42" s="75"/>
      <c r="E42" s="75"/>
      <c r="F42" s="33"/>
      <c r="G42" s="33"/>
    </row>
    <row r="43" spans="2:4" ht="20.25" customHeight="1">
      <c r="B43" s="33"/>
      <c r="C43" s="33"/>
      <c r="D43" s="33"/>
    </row>
    <row r="44" spans="2:4" ht="20.25" customHeight="1">
      <c r="B44" s="43" t="s">
        <v>72</v>
      </c>
      <c r="C44" s="43"/>
      <c r="D44" s="43"/>
    </row>
    <row r="45" spans="2:9" ht="35.25" customHeight="1">
      <c r="B45" s="216" t="s">
        <v>255</v>
      </c>
      <c r="C45" s="216"/>
      <c r="D45" s="216"/>
      <c r="E45" s="216"/>
      <c r="F45" s="216"/>
      <c r="G45" s="216"/>
      <c r="H45" s="216"/>
      <c r="I45" s="33"/>
    </row>
    <row r="46" spans="2:4" ht="15.75" customHeight="1">
      <c r="B46" s="194" t="s">
        <v>75</v>
      </c>
      <c r="C46" s="194"/>
      <c r="D46" s="194"/>
    </row>
  </sheetData>
  <sheetProtection/>
  <mergeCells count="37">
    <mergeCell ref="B46:D46"/>
    <mergeCell ref="I7:K7"/>
    <mergeCell ref="B35:E35"/>
    <mergeCell ref="B36:F36"/>
    <mergeCell ref="B39:E39"/>
    <mergeCell ref="B37:F37"/>
    <mergeCell ref="B38:F38"/>
    <mergeCell ref="B29:D29"/>
    <mergeCell ref="B30:D30"/>
    <mergeCell ref="B32:D32"/>
    <mergeCell ref="B33:D33"/>
    <mergeCell ref="B34:D34"/>
    <mergeCell ref="B45:H45"/>
    <mergeCell ref="B24:D24"/>
    <mergeCell ref="B25:D25"/>
    <mergeCell ref="B26:D26"/>
    <mergeCell ref="B31:D31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A1:K1"/>
    <mergeCell ref="A2:K2"/>
    <mergeCell ref="B14:F14"/>
    <mergeCell ref="B15:F15"/>
    <mergeCell ref="B7:D7"/>
    <mergeCell ref="B8:F8"/>
    <mergeCell ref="B9:F9"/>
    <mergeCell ref="B10:F10"/>
    <mergeCell ref="B11:F11"/>
    <mergeCell ref="B12:F12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T6" sqref="T6"/>
    </sheetView>
  </sheetViews>
  <sheetFormatPr defaultColWidth="9.00390625" defaultRowHeight="15.75"/>
  <cols>
    <col min="1" max="1" width="11.625" style="0" customWidth="1"/>
    <col min="2" max="2" width="6.125" style="0" customWidth="1"/>
    <col min="3" max="6" width="14.25390625" style="0" customWidth="1"/>
    <col min="7" max="7" width="10.375" style="0" customWidth="1"/>
    <col min="8" max="8" width="12.50390625" style="0" customWidth="1"/>
    <col min="9" max="9" width="11.625" style="0" customWidth="1"/>
    <col min="10" max="10" width="10.00390625" style="0" customWidth="1"/>
    <col min="11" max="11" width="9.125" style="0" customWidth="1"/>
    <col min="12" max="12" width="11.875" style="0" customWidth="1"/>
    <col min="13" max="16" width="12.625" style="0" customWidth="1"/>
    <col min="17" max="17" width="9.75390625" style="0" bestFit="1" customWidth="1"/>
    <col min="18" max="18" width="12.625" style="0" customWidth="1"/>
    <col min="19" max="19" width="11.875" style="0" customWidth="1"/>
  </cols>
  <sheetData>
    <row r="1" spans="1:19" ht="109.5" customHeight="1">
      <c r="A1" s="277" t="s">
        <v>210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19" ht="15.75" customHeight="1">
      <c r="A2" s="248" t="s">
        <v>166</v>
      </c>
      <c r="B2" s="275" t="s">
        <v>167</v>
      </c>
      <c r="C2" s="275" t="s">
        <v>168</v>
      </c>
      <c r="D2" s="275"/>
      <c r="E2" s="275"/>
      <c r="F2" s="275"/>
      <c r="G2" s="275"/>
      <c r="H2" s="275"/>
      <c r="I2" s="275"/>
      <c r="J2" s="278" t="s">
        <v>169</v>
      </c>
      <c r="K2" s="278"/>
      <c r="L2" s="278"/>
      <c r="M2" s="279" t="s">
        <v>170</v>
      </c>
      <c r="N2" s="275" t="s">
        <v>171</v>
      </c>
      <c r="O2" s="275"/>
      <c r="P2" s="275"/>
      <c r="Q2" s="275"/>
      <c r="R2" s="275"/>
      <c r="S2" s="192" t="s">
        <v>213</v>
      </c>
    </row>
    <row r="3" spans="1:19" ht="15.75" customHeight="1">
      <c r="A3" s="275"/>
      <c r="B3" s="275"/>
      <c r="C3" s="218" t="s">
        <v>172</v>
      </c>
      <c r="D3" s="219"/>
      <c r="E3" s="220"/>
      <c r="F3" s="218" t="s">
        <v>173</v>
      </c>
      <c r="G3" s="219"/>
      <c r="H3" s="220"/>
      <c r="I3" s="248" t="s">
        <v>174</v>
      </c>
      <c r="J3" s="282" t="s">
        <v>175</v>
      </c>
      <c r="K3" s="284" t="s">
        <v>176</v>
      </c>
      <c r="L3" s="282" t="s">
        <v>177</v>
      </c>
      <c r="M3" s="280"/>
      <c r="N3" s="248" t="s">
        <v>178</v>
      </c>
      <c r="O3" s="275" t="s">
        <v>179</v>
      </c>
      <c r="P3" s="275" t="s">
        <v>180</v>
      </c>
      <c r="Q3" s="275" t="s">
        <v>181</v>
      </c>
      <c r="R3" s="275" t="s">
        <v>182</v>
      </c>
      <c r="S3" s="192"/>
    </row>
    <row r="4" spans="1:19" ht="47.25" customHeight="1">
      <c r="A4" s="275"/>
      <c r="B4" s="275"/>
      <c r="C4" s="11" t="s">
        <v>183</v>
      </c>
      <c r="D4" s="22" t="s">
        <v>181</v>
      </c>
      <c r="E4" s="22" t="s">
        <v>182</v>
      </c>
      <c r="F4" s="11" t="s">
        <v>183</v>
      </c>
      <c r="G4" s="22" t="s">
        <v>181</v>
      </c>
      <c r="H4" s="22" t="s">
        <v>182</v>
      </c>
      <c r="I4" s="248"/>
      <c r="J4" s="283"/>
      <c r="K4" s="285"/>
      <c r="L4" s="283"/>
      <c r="M4" s="281"/>
      <c r="N4" s="275"/>
      <c r="O4" s="275"/>
      <c r="P4" s="275"/>
      <c r="Q4" s="275"/>
      <c r="R4" s="275"/>
      <c r="S4" s="192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184</v>
      </c>
      <c r="F5" s="11">
        <v>6</v>
      </c>
      <c r="G5" s="22">
        <v>7</v>
      </c>
      <c r="H5" s="22" t="s">
        <v>185</v>
      </c>
      <c r="I5" s="11" t="s">
        <v>186</v>
      </c>
      <c r="J5" s="22">
        <v>10</v>
      </c>
      <c r="K5" s="22">
        <v>11</v>
      </c>
      <c r="L5" s="11">
        <v>12</v>
      </c>
      <c r="M5" s="11" t="s">
        <v>187</v>
      </c>
      <c r="N5" s="22">
        <v>14</v>
      </c>
      <c r="O5" s="11">
        <v>15</v>
      </c>
      <c r="P5" s="22">
        <v>16</v>
      </c>
      <c r="Q5" s="22">
        <v>17</v>
      </c>
      <c r="R5" s="11" t="s">
        <v>188</v>
      </c>
      <c r="S5" s="100" t="s">
        <v>189</v>
      </c>
    </row>
    <row r="6" spans="1:19" ht="15.75">
      <c r="A6" s="93"/>
      <c r="B6" s="56" t="s">
        <v>190</v>
      </c>
      <c r="C6" s="117">
        <f>'2008'!D9</f>
        <v>261591.8</v>
      </c>
      <c r="D6" s="117">
        <f>'2008'!D13</f>
        <v>17577.37</v>
      </c>
      <c r="E6" s="117">
        <f>SUM(C6:D6)</f>
        <v>279169.17</v>
      </c>
      <c r="F6" s="117">
        <f>'2008'!D10</f>
        <v>252981.05</v>
      </c>
      <c r="G6" s="117">
        <f>'2008'!D14</f>
        <v>17115.08</v>
      </c>
      <c r="H6" s="117">
        <f>SUM(F6:G6)</f>
        <v>270096.13</v>
      </c>
      <c r="I6" s="134">
        <f>E6-H6</f>
        <v>9073.039999999979</v>
      </c>
      <c r="J6" s="117">
        <v>0</v>
      </c>
      <c r="K6" s="117">
        <v>0</v>
      </c>
      <c r="L6" s="117">
        <v>0</v>
      </c>
      <c r="M6" s="117">
        <f>H6+J6+K6+L6</f>
        <v>270096.13</v>
      </c>
      <c r="N6" s="117">
        <f>'2008'!D23</f>
        <v>28775.097999999998</v>
      </c>
      <c r="O6" s="117">
        <f>'2008'!D24</f>
        <v>183114.25999999998</v>
      </c>
      <c r="P6" s="117">
        <f>'2008'!D25</f>
        <v>100100</v>
      </c>
      <c r="Q6" s="134">
        <v>0</v>
      </c>
      <c r="R6" s="93">
        <f>SUM(N6:Q6)</f>
        <v>311989.358</v>
      </c>
      <c r="S6" s="93">
        <f>M6-R6</f>
        <v>-41893.228</v>
      </c>
    </row>
    <row r="7" spans="1:19" ht="15.75">
      <c r="A7" s="93">
        <f>S6</f>
        <v>-41893.228</v>
      </c>
      <c r="B7" s="56" t="s">
        <v>191</v>
      </c>
      <c r="C7" s="117">
        <f>'отчет 2009'!H10</f>
        <v>373111.64</v>
      </c>
      <c r="D7" s="117">
        <v>24930.62</v>
      </c>
      <c r="E7" s="117">
        <f>SUM(C7:D7)</f>
        <v>398042.26</v>
      </c>
      <c r="F7" s="117">
        <f>'отчет 2009'!H13</f>
        <v>373423.92</v>
      </c>
      <c r="G7" s="117">
        <v>25234.65</v>
      </c>
      <c r="H7" s="117">
        <f>SUM(F7:G7)</f>
        <v>398658.57</v>
      </c>
      <c r="I7" s="134">
        <f>E7-H7</f>
        <v>-616.3099999999977</v>
      </c>
      <c r="J7" s="117">
        <v>0</v>
      </c>
      <c r="K7" s="117">
        <v>0</v>
      </c>
      <c r="L7" s="117">
        <v>0</v>
      </c>
      <c r="M7" s="117">
        <f>H7+J7+K7+L7</f>
        <v>398658.57</v>
      </c>
      <c r="N7" s="117">
        <f>'отчет 2009'!H31</f>
        <v>37925.18</v>
      </c>
      <c r="O7" s="117">
        <f>'отчет 2009'!H32-'отчет 2009'!H31</f>
        <v>302108.57999999996</v>
      </c>
      <c r="P7" s="117">
        <f>'отчет 2009'!H33</f>
        <v>103800</v>
      </c>
      <c r="Q7" s="134">
        <v>0</v>
      </c>
      <c r="R7" s="93">
        <f>SUM(N7:Q7)</f>
        <v>443833.75999999995</v>
      </c>
      <c r="S7" s="93">
        <f>M7-R7</f>
        <v>-45175.189999999944</v>
      </c>
    </row>
    <row r="8" spans="1:22" ht="15.75">
      <c r="A8" s="93">
        <f>A7+S7</f>
        <v>-87068.41799999995</v>
      </c>
      <c r="B8" s="56" t="s">
        <v>192</v>
      </c>
      <c r="C8" s="117">
        <v>393265.92</v>
      </c>
      <c r="D8" s="117">
        <v>25231.57</v>
      </c>
      <c r="E8" s="117">
        <f>SUM(C8:D8)</f>
        <v>418497.49</v>
      </c>
      <c r="F8" s="117">
        <f>'отчет 2010'!H10</f>
        <v>379262.38</v>
      </c>
      <c r="G8" s="117">
        <f>'отчет 2010'!H11</f>
        <v>24757.56</v>
      </c>
      <c r="H8" s="117">
        <f>SUM(F8:G8)</f>
        <v>404019.94</v>
      </c>
      <c r="I8" s="134">
        <f>E8-H8</f>
        <v>14477.549999999988</v>
      </c>
      <c r="J8" s="117">
        <v>0</v>
      </c>
      <c r="K8" s="117">
        <v>0</v>
      </c>
      <c r="L8" s="117">
        <v>0</v>
      </c>
      <c r="M8" s="117">
        <f>H8+J8+K8+L8</f>
        <v>404019.94</v>
      </c>
      <c r="N8" s="117">
        <f>'отчет 2010'!J29</f>
        <v>39649.06</v>
      </c>
      <c r="O8" s="117">
        <f>'отчет 2010'!J34-'отчет 2010'!J29</f>
        <v>316890.56</v>
      </c>
      <c r="P8" s="117">
        <f>'отчет 2010'!H35</f>
        <v>156130</v>
      </c>
      <c r="Q8" s="134">
        <v>0</v>
      </c>
      <c r="R8" s="93">
        <f>SUM(N8:Q8)</f>
        <v>512669.62</v>
      </c>
      <c r="S8" s="93">
        <f>M8-R8</f>
        <v>-108649.68</v>
      </c>
      <c r="U8" s="101"/>
      <c r="V8" s="101"/>
    </row>
    <row r="9" spans="1:19" ht="15.75">
      <c r="A9" s="93">
        <f>A8+S8</f>
        <v>-195718.09799999994</v>
      </c>
      <c r="B9" s="56" t="s">
        <v>193</v>
      </c>
      <c r="C9" s="93">
        <v>452779.18</v>
      </c>
      <c r="D9" s="93">
        <v>29134.28</v>
      </c>
      <c r="E9" s="117">
        <f>SUM(C9:D9)</f>
        <v>481913.45999999996</v>
      </c>
      <c r="F9" s="93">
        <f>'отчет 2011'!H10</f>
        <v>440583.84</v>
      </c>
      <c r="G9" s="93">
        <f>'отчет 2011'!H11</f>
        <v>28662.04</v>
      </c>
      <c r="H9" s="117">
        <f>SUM(F9:G9)</f>
        <v>469245.88</v>
      </c>
      <c r="I9" s="134">
        <f>E9-H9</f>
        <v>12667.579999999958</v>
      </c>
      <c r="J9" s="93">
        <f>'отчет 2011'!I12</f>
        <v>0</v>
      </c>
      <c r="K9" s="93">
        <f>'отчет 2011'!I13</f>
        <v>0</v>
      </c>
      <c r="L9" s="93">
        <f>'отчет 2011'!H13</f>
        <v>0</v>
      </c>
      <c r="M9" s="117">
        <f>H9+J9+K9+L9</f>
        <v>469245.88</v>
      </c>
      <c r="N9" s="93">
        <f>'отчет 2011'!J29</f>
        <v>45682.61</v>
      </c>
      <c r="O9" s="93">
        <f>'отчет 2011'!J32-'отчет 2011'!J29</f>
        <v>361565.73</v>
      </c>
      <c r="P9" s="93">
        <f>'отчет 2011'!H36</f>
        <v>235397.7</v>
      </c>
      <c r="Q9" s="34">
        <f>'отчет 2011'!H38</f>
        <v>168687</v>
      </c>
      <c r="R9" s="93">
        <f>SUM(N9:Q9)</f>
        <v>811333.04</v>
      </c>
      <c r="S9" s="93">
        <f>M9-R9</f>
        <v>-342087.16000000003</v>
      </c>
    </row>
    <row r="10" spans="1:19" ht="15.75">
      <c r="A10" s="93">
        <f>A9+S9</f>
        <v>-537805.2579999999</v>
      </c>
      <c r="B10" s="56" t="s">
        <v>194</v>
      </c>
      <c r="C10" s="93">
        <v>462328.5</v>
      </c>
      <c r="D10" s="93">
        <v>30259.58</v>
      </c>
      <c r="E10" s="117">
        <f>SUM(C10:D10)</f>
        <v>492588.08</v>
      </c>
      <c r="F10" s="93">
        <f>отчет12стар!I10</f>
        <v>459259.58</v>
      </c>
      <c r="G10" s="93">
        <f>отчет12стар!I11</f>
        <v>29136.1</v>
      </c>
      <c r="H10" s="117">
        <f>SUM(F10:G10)</f>
        <v>488395.68</v>
      </c>
      <c r="I10" s="134">
        <f>E10-H10</f>
        <v>4192.400000000023</v>
      </c>
      <c r="J10" s="93">
        <v>0</v>
      </c>
      <c r="K10" s="93">
        <v>0</v>
      </c>
      <c r="L10" s="93">
        <v>0</v>
      </c>
      <c r="M10" s="117">
        <f>H10+J10+K10+L10</f>
        <v>488395.68</v>
      </c>
      <c r="N10" s="93">
        <f>отчет12стар!K29</f>
        <v>46975.509999999995</v>
      </c>
      <c r="O10" s="93">
        <f>отчет12стар!K31-отчет12стар!K29</f>
        <v>374206.33</v>
      </c>
      <c r="P10" s="93">
        <f>отчет12стар!I35</f>
        <v>303365</v>
      </c>
      <c r="Q10" s="186">
        <f>отчет12стар!I37</f>
        <v>0</v>
      </c>
      <c r="R10" s="93">
        <f>SUM(N10:Q10)</f>
        <v>724546.8400000001</v>
      </c>
      <c r="S10" s="93">
        <f>M10-R10</f>
        <v>-236151.1600000001</v>
      </c>
    </row>
    <row r="11" spans="1:19" ht="15.75">
      <c r="A11" s="34"/>
      <c r="B11" s="56" t="s">
        <v>195</v>
      </c>
      <c r="C11" s="30">
        <f aca="true" t="shared" si="0" ref="C11:S11">SUM(C6:C10)</f>
        <v>1943077.0399999998</v>
      </c>
      <c r="D11" s="30">
        <f t="shared" si="0"/>
        <v>127133.42</v>
      </c>
      <c r="E11" s="30">
        <f t="shared" si="0"/>
        <v>2070210.46</v>
      </c>
      <c r="F11" s="30">
        <f t="shared" si="0"/>
        <v>1905510.77</v>
      </c>
      <c r="G11" s="30">
        <f t="shared" si="0"/>
        <v>124905.43000000002</v>
      </c>
      <c r="H11" s="30">
        <f t="shared" si="0"/>
        <v>2030416.2</v>
      </c>
      <c r="I11" s="30">
        <f t="shared" si="0"/>
        <v>39794.25999999995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2030416.2</v>
      </c>
      <c r="N11" s="30">
        <f t="shared" si="0"/>
        <v>199007.45799999998</v>
      </c>
      <c r="O11" s="30">
        <f t="shared" si="0"/>
        <v>1537885.46</v>
      </c>
      <c r="P11" s="30">
        <f t="shared" si="0"/>
        <v>898792.7</v>
      </c>
      <c r="Q11" s="30">
        <f t="shared" si="0"/>
        <v>168687</v>
      </c>
      <c r="R11" s="30">
        <f t="shared" si="0"/>
        <v>2804372.618</v>
      </c>
      <c r="S11" s="30">
        <f t="shared" si="0"/>
        <v>-773956.4180000001</v>
      </c>
    </row>
    <row r="13" spans="1:8" ht="18.75" customHeight="1">
      <c r="A13" s="286" t="s">
        <v>248</v>
      </c>
      <c r="B13" s="286"/>
      <c r="C13" s="286"/>
      <c r="D13" s="286"/>
      <c r="E13" s="286" t="s">
        <v>249</v>
      </c>
      <c r="F13" s="286"/>
      <c r="G13" s="286"/>
      <c r="H13" s="286"/>
    </row>
    <row r="14" spans="1:8" ht="18.75">
      <c r="A14" s="183"/>
      <c r="B14" s="183"/>
      <c r="C14" s="183"/>
      <c r="D14" s="183"/>
      <c r="E14" s="183"/>
      <c r="F14" s="183"/>
      <c r="G14" s="183"/>
      <c r="H14" s="183"/>
    </row>
    <row r="15" spans="1:8" ht="18.75">
      <c r="A15" s="184"/>
      <c r="B15" s="185"/>
      <c r="C15" s="185"/>
      <c r="D15" s="184"/>
      <c r="E15" s="184"/>
      <c r="F15" s="184"/>
      <c r="G15" s="184"/>
      <c r="H15" s="184"/>
    </row>
    <row r="16" spans="1:8" ht="18.75">
      <c r="A16" s="183" t="s">
        <v>250</v>
      </c>
      <c r="B16" s="183"/>
      <c r="C16" s="183"/>
      <c r="D16" s="184"/>
      <c r="E16" s="184"/>
      <c r="F16" s="184"/>
      <c r="G16" s="184"/>
      <c r="H16" s="184"/>
    </row>
    <row r="17" spans="1:8" ht="18.75">
      <c r="A17" s="183" t="s">
        <v>251</v>
      </c>
      <c r="B17" s="183"/>
      <c r="C17" s="183"/>
      <c r="D17" s="183"/>
      <c r="E17" s="183"/>
      <c r="F17" s="184"/>
      <c r="G17" s="184"/>
      <c r="H17" s="184"/>
    </row>
    <row r="18" spans="1:8" ht="18.75" customHeight="1">
      <c r="A18" s="33" t="s">
        <v>252</v>
      </c>
      <c r="B18" s="184"/>
      <c r="C18" s="184"/>
      <c r="D18" s="184"/>
      <c r="E18" s="286" t="s">
        <v>253</v>
      </c>
      <c r="F18" s="286"/>
      <c r="G18" s="286"/>
      <c r="H18" s="184"/>
    </row>
    <row r="19" spans="1:8" ht="15.75">
      <c r="A19" s="184"/>
      <c r="B19" s="184"/>
      <c r="C19" s="184"/>
      <c r="D19" s="184"/>
      <c r="E19" s="184"/>
      <c r="F19" s="184"/>
      <c r="G19" s="184"/>
      <c r="H19" s="184"/>
    </row>
    <row r="20" spans="1:8" ht="15.75">
      <c r="A20" s="184"/>
      <c r="B20" s="184"/>
      <c r="C20" s="184"/>
      <c r="D20" s="184"/>
      <c r="E20" s="184"/>
      <c r="F20" s="184"/>
      <c r="G20" s="184"/>
      <c r="H20" s="184"/>
    </row>
    <row r="21" spans="1:8" ht="15.75">
      <c r="A21" s="184"/>
      <c r="B21" s="184"/>
      <c r="C21" s="184"/>
      <c r="D21" s="184"/>
      <c r="E21" s="184"/>
      <c r="F21" s="184"/>
      <c r="G21" s="184"/>
      <c r="H21" s="184"/>
    </row>
    <row r="22" spans="1:8" ht="15.75">
      <c r="A22" s="184" t="s">
        <v>254</v>
      </c>
      <c r="B22" s="184"/>
      <c r="C22" s="184"/>
      <c r="D22" s="184"/>
      <c r="E22" s="184"/>
      <c r="F22" s="184"/>
      <c r="G22" s="184"/>
      <c r="H22" s="184"/>
    </row>
  </sheetData>
  <sheetProtection/>
  <mergeCells count="22">
    <mergeCell ref="A13:D13"/>
    <mergeCell ref="E13:H13"/>
    <mergeCell ref="E18:G18"/>
    <mergeCell ref="I3:I4"/>
    <mergeCell ref="J3:J4"/>
    <mergeCell ref="K3:K4"/>
    <mergeCell ref="L3:L4"/>
    <mergeCell ref="R3:R4"/>
    <mergeCell ref="N3:N4"/>
    <mergeCell ref="O3:O4"/>
    <mergeCell ref="P3:P4"/>
    <mergeCell ref="Q3:Q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2013-03-11T09:45:42Z</cp:lastPrinted>
  <dcterms:created xsi:type="dcterms:W3CDTF">2009-08-26T03:25:10Z</dcterms:created>
  <dcterms:modified xsi:type="dcterms:W3CDTF">2013-03-25T05:42:58Z</dcterms:modified>
  <cp:category/>
  <cp:version/>
  <cp:contentType/>
  <cp:contentStatus/>
</cp:coreProperties>
</file>