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tabRatio="727" firstSheet="7" activeTab="7"/>
  </bookViews>
  <sheets>
    <sheet name="2008" sheetId="1" r:id="rId1"/>
    <sheet name="отчет 2009" sheetId="2" r:id="rId2"/>
    <sheet name="отчет 2010" sheetId="3" state="hidden" r:id="rId3"/>
    <sheet name="смета 2011" sheetId="4" state="hidden" r:id="rId4"/>
    <sheet name="отчет 2011" sheetId="5" state="hidden" r:id="rId5"/>
    <sheet name="смета 2012" sheetId="6" state="hidden" r:id="rId6"/>
    <sheet name="07.2012" sheetId="7" state="hidden" r:id="rId7"/>
    <sheet name="отчет12стар" sheetId="8" r:id="rId8"/>
    <sheet name="накопит" sheetId="9" state="hidden" r:id="rId9"/>
  </sheets>
  <definedNames>
    <definedName name="_xlnm.Print_Area" localSheetId="5">'смета 2012'!$A$1:$I$34</definedName>
  </definedNames>
  <calcPr fullCalcOnLoad="1"/>
</workbook>
</file>

<file path=xl/sharedStrings.xml><?xml version="1.0" encoding="utf-8"?>
<sst xmlns="http://schemas.openxmlformats.org/spreadsheetml/2006/main" count="723" uniqueCount="261">
  <si>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</si>
  <si>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</si>
  <si>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</si>
  <si>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</si>
  <si>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</si>
  <si>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</si>
  <si>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</si>
  <si>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</si>
  <si>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</si>
  <si>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</si>
  <si>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</si>
  <si>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</si>
  <si>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</si>
  <si>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</si>
  <si>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</si>
  <si>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</si>
  <si>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</si>
  <si>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</si>
  <si>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</si>
  <si>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</si>
  <si>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</si>
  <si>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</si>
  <si>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</si>
  <si>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</si>
  <si>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</si>
  <si>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</si>
  <si>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</si>
  <si>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</si>
  <si>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</si>
  <si>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</si>
  <si>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</si>
  <si>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</si>
  <si>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</si>
  <si>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</si>
  <si>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</si>
  <si>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</si>
  <si>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</si>
  <si>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</si>
  <si>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</si>
  <si>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</si>
  <si>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</si>
  <si>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</si>
  <si>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</si>
  <si>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</si>
  <si>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</si>
  <si>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</si>
  <si>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</si>
  <si>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</si>
  <si>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</si>
  <si>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</si>
  <si>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</si>
  <si>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</si>
  <si>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</si>
  <si>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</si>
  <si>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</si>
  <si>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</si>
  <si>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</si>
  <si>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</si>
  <si>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</si>
  <si>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</si>
  <si>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</si>
  <si>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</si>
  <si>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</si>
  <si>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</si>
  <si>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</si>
  <si>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</si>
  <si>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</si>
  <si>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</si>
  <si>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</si>
  <si>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</si>
  <si>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</si>
  <si>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</si>
  <si>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</si>
  <si>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 xml:space="preserve">Адрес: </t>
  </si>
  <si>
    <t>ООО "ОЖКС № 1"</t>
  </si>
  <si>
    <t>Претензий по управлению нет (да)</t>
  </si>
  <si>
    <t>Противопожарные мероприятия:  содержание и обслуживание вентканалов и шахт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</si>
  <si>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</si>
  <si>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</si>
  <si>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</si>
  <si>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</si>
  <si>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</si>
  <si>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</si>
  <si>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ОТЧЕТ
за  2009 г. о выполненнии условий  договора управления МКД 
№ 331/1 от 28.03.08 г., заключенного между ООО "ОЖКС № 1" 
и собственниками многоквартирного дома
по адресу:  ул. Медногорская, 31</t>
  </si>
  <si>
    <t>ул. Медногорская, 31</t>
  </si>
  <si>
    <t xml:space="preserve">         Представитель собственников  - старший по дому Ширенина А.Т.,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</si>
  <si>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 А.Т. Ширенина                        </t>
  </si>
  <si>
    <t>ОТЧЕТ
о выполненных работах в 2008 году по договору управления МКД 
№ 331 от 28.03.2008 г., заключенного между ООО "ОЖКС №1" и собственниками многоквартирного дома
по адресу:  ул. Медногорская, 31</t>
  </si>
  <si>
    <t xml:space="preserve">        Представитель собственников  - старший по дому Ширенина А.Т.,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</si>
  <si>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</si>
  <si>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</si>
  <si>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</si>
  <si>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</si>
  <si>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</si>
  <si>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</si>
  <si>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</si>
  <si>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</si>
  <si>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</si>
  <si>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</si>
  <si>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</si>
  <si>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</si>
  <si>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</si>
  <si>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</si>
  <si>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</si>
  <si>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</si>
  <si>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</si>
  <si>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</si>
  <si>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</si>
  <si>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</si>
  <si>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</si>
  <si>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</si>
  <si>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</si>
  <si>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</si>
  <si>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</si>
  <si>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</si>
  <si>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</si>
  <si>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</si>
  <si>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</si>
  <si>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</si>
  <si>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</si>
  <si>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</si>
  <si>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</si>
  <si>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</si>
  <si>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</si>
  <si>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</si>
  <si>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</si>
  <si>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</si>
  <si>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</si>
  <si>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</si>
  <si>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</si>
  <si>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</si>
  <si>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А.Т. Ширенина                        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</si>
  <si>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</si>
  <si>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</si>
  <si>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</si>
  <si>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</si>
  <si>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</si>
  <si>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</si>
  <si>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</si>
  <si>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</si>
  <si>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</si>
  <si>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</si>
  <si>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</si>
  <si>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</si>
  <si>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</si>
  <si>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</si>
  <si>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</si>
  <si>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</si>
  <si>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</si>
  <si>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</si>
  <si>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</si>
  <si>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</si>
  <si>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</si>
  <si>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</si>
  <si>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</si>
  <si>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</si>
  <si>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</si>
  <si>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</si>
  <si>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</si>
  <si>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</si>
  <si>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</si>
  <si>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</si>
  <si>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</si>
  <si>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</si>
  <si>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</si>
  <si>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</si>
  <si>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</si>
  <si>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</si>
  <si>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</si>
  <si>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</si>
  <si>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</si>
  <si>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</si>
  <si>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</si>
  <si>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</si>
  <si>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</si>
  <si>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</si>
  <si>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</si>
  <si>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</si>
  <si>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</si>
  <si>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</si>
  <si>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</si>
  <si>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</si>
  <si>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</si>
  <si>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</si>
  <si>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</si>
  <si>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</si>
  <si>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</si>
  <si>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</si>
  <si>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</si>
  <si>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</si>
  <si>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</si>
  <si>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</si>
  <si>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</si>
  <si>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</si>
  <si>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</si>
  <si>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</si>
  <si>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</si>
  <si>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</si>
  <si>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</si>
  <si>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</si>
  <si>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</si>
  <si>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</si>
  <si>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</si>
  <si>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</si>
  <si>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</si>
  <si>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</si>
  <si>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</si>
  <si>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331/1 от 28.03.08 г., заключенного между ООО "ОЖКС № 1" 
и собственниками многоквартирного дома
по адресу:  ул. Медногорская, 31</t>
  </si>
  <si>
    <t xml:space="preserve">                 Представитель собственников  - старший по дому Ширенина А.Т.,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</si>
  <si>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 xml:space="preserve">Старший по дому                                                                                     А.Т. Ширенина                        </t>
  </si>
  <si>
    <t>ОТЧЕТ
по  договору управления МКД 
№ 331/1 от 28.03.08 г., заключенного между ООО "ОЖКС № 1" 
и собственниками многоквартирного дома
по адресу:  ул. Медногорская, 31</t>
  </si>
  <si>
    <t>Смета
расходов и доходов  на  2011 г.
по договору управления МКД 
№ 331/1 от 28.03.08 г., заключенного между ООО "ОЖКС № 1" 
и собственниками многоквартирного дома
по адресу:  ул. Медногорская, 31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</si>
  <si>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</si>
  <si>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</si>
  <si>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</si>
  <si>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>ОТЧЕТ
за  2011 г. о выполненнии условий  договора управления МКД 
№ 331/1 от 28.03.08 г., заключенного между ООО "ОЖКС № 1" 
и собственниками многоквартирного дома
по адресу:  ул. Медногорская, 31</t>
  </si>
  <si>
    <t xml:space="preserve">                 Представитель собственников  - старший по дому _____________________________________, с одной стороны и Общество с Ограниченной Ответственностью "Октябрьский Жилкомсервис № 1" в лице директора ______________________________, действующей на основании Устава,  с другой стороны, составили настоящий отчет о выполненных работах в 2011 году.  </t>
  </si>
  <si>
    <t xml:space="preserve">Директор ООО "ОЖКС № 1"                                            _________________________                          </t>
  </si>
  <si>
    <t>Старший по дому                                                                ______________________</t>
  </si>
  <si>
    <t>Смета
расходов и доходов  на  2012 г.
по договору управления МКД 
№ 331/1 от 28.03.08 г., заключенного между ООО "ОЖКС № 1" 
и собственниками многоквартирного дома
по адресу:  ул. Медногорская, 31</t>
  </si>
  <si>
    <t xml:space="preserve"> Текущий ремонт общего имущества </t>
  </si>
  <si>
    <t xml:space="preserve">Капитальный ремонт  </t>
  </si>
  <si>
    <t xml:space="preserve">Директор ООО "ОЖКС № 1"                                                         А.В. Яроцкова                             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</si>
  <si>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</si>
  <si>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Расчет стоимости договора и тарифа 1 м2 на 2012г.</t>
  </si>
  <si>
    <t>1</t>
  </si>
  <si>
    <t>1.1</t>
  </si>
  <si>
    <t>1.2</t>
  </si>
  <si>
    <t>1.3</t>
  </si>
  <si>
    <t>2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</si>
  <si>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</si>
  <si>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</si>
  <si>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</si>
  <si>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</si>
  <si>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Тариф 
на 
1 кв.м. сентябрь-декабрь 2012г.
руб.</t>
  </si>
  <si>
    <t>Стоимость работ
сентябрь-декабрь 2012г.                      руб.</t>
  </si>
  <si>
    <t>5=гр.4*Sдома*4мес.</t>
  </si>
  <si>
    <t xml:space="preserve">         Приложение №7 к Договору                                                                    на оказание услуг и  выполнение работ                                                                  по содержанию, текущему и капитальному ремонту                                                                                общего имущества МКД № ___ от "____"___________2012г.</t>
  </si>
  <si>
    <t>по плану работ</t>
  </si>
  <si>
    <t>подметание асфальта -   1 раз/неделю,                
подбор мусора - ежедневно</t>
  </si>
  <si>
    <t>Тариф с 1 сентября 2012 г. - 11,21 руб., капитальный ремонт - 0,80 руб.</t>
  </si>
  <si>
    <t>* в случае уточнения площадей возможно изменение стоимости</t>
  </si>
  <si>
    <t>ОТЧЕТ
за  2012 г. о выполненнии условий  договора управления МКД 
№ 331/1 от 28.03.08 г., заключенного между ООО "ОЖКС № 1" 
и собственниками многоквартирного дома
по адресу:  ул. Медногорская, 31</t>
  </si>
  <si>
    <t xml:space="preserve">                 Представитель собственников  - старший по дому _____________________________________,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</si>
  <si>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</si>
  <si>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31, 2 нежилых помещения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</si>
  <si>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</si>
  <si>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</si>
  <si>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</si>
  <si>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</si>
  <si>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</si>
  <si>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</si>
  <si>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</si>
  <si>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</si>
  <si>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</si>
  <si>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</si>
  <si>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</si>
  <si>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</si>
  <si>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 xml:space="preserve">Старший по дому      </t>
  </si>
  <si>
    <t>_______________/________/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</si>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</sst>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5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9">
      <selection activeCell="A25" sqref="A25:IV27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2.75390625" style="0" customWidth="1"/>
    <col min="5" max="5" width="14.00390625" style="0" hidden="1" customWidth="1"/>
  </cols>
  <sheetData>
    <row r="1" spans="1:4" ht="104.25" customHeight="1">
      <c r="A1" s="203" t="s">
        <v>87</v>
      </c>
      <c r="B1" s="203"/>
      <c r="C1" s="203"/>
      <c r="D1" s="203"/>
    </row>
    <row r="2" spans="1:4" ht="87.75" customHeight="1">
      <c r="A2" s="204" t="s">
        <v>88</v>
      </c>
      <c r="B2" s="204"/>
      <c r="C2" s="204"/>
      <c r="D2" s="204"/>
    </row>
    <row r="3" spans="1:5" ht="39" customHeight="1">
      <c r="A3" s="22" t="s">
        <v>89</v>
      </c>
      <c r="B3" s="22" t="s">
        <v>90</v>
      </c>
      <c r="C3" s="11" t="s">
        <v>91</v>
      </c>
      <c r="D3" s="51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3</v>
      </c>
      <c r="E4" s="54">
        <f>D4</f>
        <v>3</v>
      </c>
    </row>
    <row r="5" spans="1:5" ht="15.75">
      <c r="A5" s="55" t="s">
        <v>97</v>
      </c>
      <c r="B5" s="56" t="s">
        <v>98</v>
      </c>
      <c r="C5" s="57" t="s">
        <v>99</v>
      </c>
      <c r="D5" s="58">
        <v>1846</v>
      </c>
      <c r="E5" s="59">
        <f>D5</f>
        <v>1846</v>
      </c>
    </row>
    <row r="6" spans="1:5" ht="15.75">
      <c r="A6" s="55" t="s">
        <v>100</v>
      </c>
      <c r="B6" s="56" t="s">
        <v>101</v>
      </c>
      <c r="C6" s="57" t="s">
        <v>96</v>
      </c>
      <c r="D6" s="60">
        <v>31</v>
      </c>
      <c r="E6" s="60">
        <f>D6</f>
        <v>31</v>
      </c>
    </row>
    <row r="7" spans="1:5" ht="15.75">
      <c r="A7" s="55" t="s">
        <v>102</v>
      </c>
      <c r="B7" s="56" t="s">
        <v>103</v>
      </c>
      <c r="C7" s="50"/>
      <c r="D7" s="58"/>
      <c r="E7" s="58"/>
    </row>
    <row r="8" spans="1:5" ht="15.75">
      <c r="A8" s="61" t="s">
        <v>104</v>
      </c>
      <c r="B8" s="56" t="s">
        <v>105</v>
      </c>
      <c r="C8" s="50"/>
      <c r="D8" s="58"/>
      <c r="E8" s="58"/>
    </row>
    <row r="9" spans="1:5" ht="17.25" customHeight="1">
      <c r="A9" s="62"/>
      <c r="B9" s="34" t="s">
        <v>106</v>
      </c>
      <c r="C9" s="50" t="s">
        <v>107</v>
      </c>
      <c r="D9" s="58">
        <v>133770.32</v>
      </c>
      <c r="E9" s="58">
        <f>D9</f>
        <v>133770.32</v>
      </c>
    </row>
    <row r="10" spans="1:5" ht="16.5" customHeight="1">
      <c r="A10" s="62"/>
      <c r="B10" s="34" t="s">
        <v>108</v>
      </c>
      <c r="C10" s="50" t="s">
        <v>107</v>
      </c>
      <c r="D10" s="58">
        <v>132540.32</v>
      </c>
      <c r="E10" s="58">
        <f>D10</f>
        <v>132540.32</v>
      </c>
    </row>
    <row r="11" spans="1:5" ht="15.75">
      <c r="A11" s="62"/>
      <c r="B11" s="56" t="s">
        <v>109</v>
      </c>
      <c r="C11" s="57" t="s">
        <v>107</v>
      </c>
      <c r="D11" s="63">
        <f>D9-D10</f>
        <v>1230</v>
      </c>
      <c r="E11" s="63">
        <f>E9-E10</f>
        <v>1230</v>
      </c>
    </row>
    <row r="12" spans="1:5" ht="18" customHeight="1">
      <c r="A12" s="61" t="s">
        <v>110</v>
      </c>
      <c r="B12" s="56" t="s">
        <v>111</v>
      </c>
      <c r="C12" s="50"/>
      <c r="D12" s="58"/>
      <c r="E12" s="58"/>
    </row>
    <row r="13" spans="1:5" ht="15.75">
      <c r="A13" s="62"/>
      <c r="B13" s="34" t="s">
        <v>106</v>
      </c>
      <c r="C13" s="50" t="s">
        <v>107</v>
      </c>
      <c r="D13" s="58">
        <v>8500.18</v>
      </c>
      <c r="E13" s="58">
        <v>0</v>
      </c>
    </row>
    <row r="14" spans="1:5" ht="15.75" customHeight="1">
      <c r="A14" s="62"/>
      <c r="B14" s="34" t="s">
        <v>108</v>
      </c>
      <c r="C14" s="50" t="s">
        <v>107</v>
      </c>
      <c r="D14" s="58">
        <v>8326.05</v>
      </c>
      <c r="E14" s="58">
        <v>0</v>
      </c>
    </row>
    <row r="15" spans="1:5" ht="15.75" customHeight="1">
      <c r="A15" s="62"/>
      <c r="B15" s="56" t="s">
        <v>109</v>
      </c>
      <c r="C15" s="57" t="s">
        <v>107</v>
      </c>
      <c r="D15" s="63">
        <f>D13-D14</f>
        <v>174.13000000000102</v>
      </c>
      <c r="E15" s="63">
        <f>E13-E14</f>
        <v>0</v>
      </c>
    </row>
    <row r="16" spans="1:5" ht="15" customHeight="1">
      <c r="A16" s="64" t="s">
        <v>112</v>
      </c>
      <c r="B16" s="56" t="s">
        <v>113</v>
      </c>
      <c r="C16" s="50"/>
      <c r="D16" s="65"/>
      <c r="E16" s="65"/>
    </row>
    <row r="17" spans="1:5" ht="15.75">
      <c r="A17" s="66"/>
      <c r="B17" s="34" t="s">
        <v>106</v>
      </c>
      <c r="C17" s="50" t="s">
        <v>107</v>
      </c>
      <c r="D17" s="65">
        <v>1532.04</v>
      </c>
      <c r="E17" s="65">
        <f>D17</f>
        <v>1532.04</v>
      </c>
    </row>
    <row r="18" spans="1:5" ht="15.75" customHeight="1">
      <c r="A18" s="66"/>
      <c r="B18" s="34" t="s">
        <v>108</v>
      </c>
      <c r="C18" s="50" t="s">
        <v>107</v>
      </c>
      <c r="D18" s="65">
        <v>1614.77</v>
      </c>
      <c r="E18" s="65">
        <f>D18</f>
        <v>1614.77</v>
      </c>
    </row>
    <row r="19" spans="1:5" ht="15.75">
      <c r="A19" s="66"/>
      <c r="B19" s="56" t="s">
        <v>109</v>
      </c>
      <c r="C19" s="50" t="s">
        <v>107</v>
      </c>
      <c r="D19" s="67">
        <f>D17-D18</f>
        <v>-82.73000000000002</v>
      </c>
      <c r="E19" s="67">
        <f>E17-E18</f>
        <v>-82.73000000000002</v>
      </c>
    </row>
    <row r="20" spans="1:5" ht="24.75" customHeight="1">
      <c r="A20" s="62"/>
      <c r="B20" s="56" t="s">
        <v>114</v>
      </c>
      <c r="C20" s="50" t="s">
        <v>107</v>
      </c>
      <c r="D20" s="63">
        <f>D9+D13+D17</f>
        <v>143802.54</v>
      </c>
      <c r="E20" s="63">
        <f>E9+E13+E17</f>
        <v>135302.36000000002</v>
      </c>
    </row>
    <row r="21" spans="1:5" ht="21" customHeight="1">
      <c r="A21" s="62"/>
      <c r="B21" s="56" t="s">
        <v>115</v>
      </c>
      <c r="C21" s="50" t="s">
        <v>107</v>
      </c>
      <c r="D21" s="63">
        <f>D11+D15+D19</f>
        <v>1321.400000000001</v>
      </c>
      <c r="E21" s="63">
        <f>E11+E15+E19</f>
        <v>1147.27</v>
      </c>
    </row>
    <row r="22" spans="1:5" ht="18" customHeight="1">
      <c r="A22" s="55" t="s">
        <v>116</v>
      </c>
      <c r="B22" s="68" t="s">
        <v>117</v>
      </c>
      <c r="C22" s="50"/>
      <c r="D22" s="58"/>
      <c r="E22" s="58"/>
    </row>
    <row r="23" spans="1:5" ht="74.25" customHeight="1">
      <c r="A23" s="69" t="s">
        <v>118</v>
      </c>
      <c r="B23" s="70" t="s">
        <v>119</v>
      </c>
      <c r="C23" s="57" t="s">
        <v>107</v>
      </c>
      <c r="D23" s="63">
        <f>D9*0.11</f>
        <v>14714.735200000001</v>
      </c>
      <c r="E23" s="63">
        <f>E9*0.11</f>
        <v>14714.735200000001</v>
      </c>
    </row>
    <row r="24" spans="1:5" ht="91.5" customHeight="1">
      <c r="A24" s="69" t="s">
        <v>120</v>
      </c>
      <c r="B24" s="70" t="s">
        <v>121</v>
      </c>
      <c r="C24" s="57" t="s">
        <v>107</v>
      </c>
      <c r="D24" s="63">
        <f>D9*0.7</f>
        <v>93639.224</v>
      </c>
      <c r="E24" s="63">
        <f>E9*0.7</f>
        <v>93639.224</v>
      </c>
    </row>
    <row r="25" spans="1:5" ht="14.25" customHeight="1">
      <c r="A25" s="69" t="s">
        <v>122</v>
      </c>
      <c r="B25" s="56" t="s">
        <v>123</v>
      </c>
      <c r="C25" s="57" t="s">
        <v>107</v>
      </c>
      <c r="D25" s="71">
        <v>5600</v>
      </c>
      <c r="E25" s="71">
        <f>D25</f>
        <v>5600</v>
      </c>
    </row>
    <row r="26" spans="1:5" ht="13.5" customHeight="1">
      <c r="A26" s="69" t="s">
        <v>124</v>
      </c>
      <c r="B26" s="56" t="s">
        <v>125</v>
      </c>
      <c r="C26" s="57" t="s">
        <v>107</v>
      </c>
      <c r="D26" s="71">
        <v>0</v>
      </c>
      <c r="E26" s="71">
        <v>0</v>
      </c>
    </row>
    <row r="27" spans="1:5" ht="15.75">
      <c r="A27" s="62"/>
      <c r="B27" s="56" t="s">
        <v>126</v>
      </c>
      <c r="C27" s="57" t="s">
        <v>107</v>
      </c>
      <c r="D27" s="63">
        <f>D23+D24+D25+D26</f>
        <v>113953.9592</v>
      </c>
      <c r="E27" s="63">
        <f>E23+E24+E25+E26</f>
        <v>113953.9592</v>
      </c>
    </row>
    <row r="28" spans="1:5" ht="15.75">
      <c r="A28" s="61" t="s">
        <v>56</v>
      </c>
      <c r="B28" s="56" t="s">
        <v>127</v>
      </c>
      <c r="C28" s="50" t="s">
        <v>107</v>
      </c>
      <c r="D28" s="58">
        <f>D20-D27</f>
        <v>29848.58080000001</v>
      </c>
      <c r="E28" s="58">
        <f>E20-E27</f>
        <v>21348.400800000018</v>
      </c>
    </row>
    <row r="29" spans="1:5" ht="31.5">
      <c r="A29" s="69" t="s">
        <v>128</v>
      </c>
      <c r="B29" s="70" t="s">
        <v>129</v>
      </c>
      <c r="C29" s="50" t="s">
        <v>107</v>
      </c>
      <c r="D29" s="58">
        <f>D28-D21</f>
        <v>28527.18080000001</v>
      </c>
      <c r="E29" s="58">
        <f>E28-E21</f>
        <v>20201.130800000017</v>
      </c>
    </row>
    <row r="30" spans="1:4" ht="15.75">
      <c r="A30" s="72"/>
      <c r="B30" s="73"/>
      <c r="C30" s="74"/>
      <c r="D30" s="74"/>
    </row>
    <row r="31" spans="1:4" ht="17.25" customHeight="1">
      <c r="A31" s="33"/>
      <c r="B31" s="205" t="s">
        <v>130</v>
      </c>
      <c r="C31" s="205"/>
      <c r="D31" s="205"/>
    </row>
    <row r="32" spans="2:4" ht="15.75">
      <c r="B32" s="75"/>
      <c r="C32" s="75"/>
      <c r="D32" s="75"/>
    </row>
    <row r="33" spans="2:4" ht="15.75">
      <c r="B33" s="76" t="s">
        <v>72</v>
      </c>
      <c r="C33" s="76"/>
      <c r="D33" s="76"/>
    </row>
    <row r="34" spans="2:4" ht="15.75">
      <c r="B34" s="206" t="s">
        <v>131</v>
      </c>
      <c r="C34" s="206"/>
      <c r="D34" s="206"/>
    </row>
    <row r="35" spans="2:4" ht="15.75">
      <c r="B35" s="202" t="s">
        <v>75</v>
      </c>
      <c r="C35" s="202"/>
      <c r="D35" s="202"/>
    </row>
  </sheetData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31">
      <selection activeCell="A40" sqref="A40:IV40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7.5" customHeight="1">
      <c r="A1" s="218" t="s">
        <v>83</v>
      </c>
      <c r="B1" s="218"/>
      <c r="C1" s="218"/>
      <c r="D1" s="218"/>
      <c r="E1" s="218"/>
      <c r="F1" s="218"/>
      <c r="G1" s="218"/>
      <c r="H1" s="218"/>
    </row>
    <row r="2" spans="1:8" ht="45.75" customHeight="1">
      <c r="A2" s="219" t="s">
        <v>85</v>
      </c>
      <c r="B2" s="219"/>
      <c r="C2" s="219"/>
      <c r="D2" s="219"/>
      <c r="E2" s="219"/>
      <c r="F2" s="219"/>
      <c r="G2" s="219"/>
      <c r="H2" s="219"/>
    </row>
    <row r="3" spans="1:6" ht="18.75">
      <c r="A3" s="1" t="s">
        <v>73</v>
      </c>
      <c r="B3" s="1" t="s">
        <v>84</v>
      </c>
      <c r="C3" s="2"/>
      <c r="D3" s="2" t="s">
        <v>0</v>
      </c>
      <c r="E3" s="26">
        <v>1846</v>
      </c>
      <c r="F3" s="2"/>
    </row>
    <row r="4" spans="2:6" ht="15.75">
      <c r="B4" s="3" t="s">
        <v>1</v>
      </c>
      <c r="C4" s="44">
        <v>3</v>
      </c>
      <c r="D4" s="2" t="s">
        <v>2</v>
      </c>
      <c r="E4" s="27">
        <v>31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55</v>
      </c>
      <c r="B7" s="193"/>
      <c r="C7" s="193"/>
      <c r="D7" s="193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94" t="s">
        <v>59</v>
      </c>
      <c r="C8" s="195"/>
      <c r="D8" s="195"/>
      <c r="E8" s="195"/>
      <c r="F8" s="160"/>
      <c r="G8" s="15"/>
      <c r="H8" s="16"/>
    </row>
    <row r="9" spans="1:8" ht="15.75">
      <c r="A9" s="22"/>
      <c r="B9" s="215" t="s">
        <v>60</v>
      </c>
      <c r="C9" s="215"/>
      <c r="D9" s="215"/>
      <c r="E9" s="215"/>
      <c r="F9" s="215"/>
      <c r="G9" s="15"/>
      <c r="H9" s="30">
        <v>17103.22</v>
      </c>
    </row>
    <row r="10" spans="1:8" ht="15.75">
      <c r="A10" s="22">
        <v>1</v>
      </c>
      <c r="B10" s="200" t="s">
        <v>57</v>
      </c>
      <c r="C10" s="200"/>
      <c r="D10" s="200"/>
      <c r="E10" s="200"/>
      <c r="F10" s="200"/>
      <c r="G10" s="15"/>
      <c r="H10" s="34">
        <v>185839.63</v>
      </c>
    </row>
    <row r="11" spans="1:8" ht="15.75">
      <c r="A11" s="22"/>
      <c r="B11" s="200" t="s">
        <v>61</v>
      </c>
      <c r="C11" s="200"/>
      <c r="D11" s="200"/>
      <c r="E11" s="200"/>
      <c r="F11" s="200"/>
      <c r="G11" s="15"/>
      <c r="H11" s="35">
        <f>H10*0.9</f>
        <v>167255.66700000002</v>
      </c>
    </row>
    <row r="12" spans="1:8" ht="15.75" customHeight="1">
      <c r="A12" s="22"/>
      <c r="B12" s="200" t="s">
        <v>62</v>
      </c>
      <c r="C12" s="200"/>
      <c r="D12" s="200"/>
      <c r="E12" s="200"/>
      <c r="F12" s="200"/>
      <c r="G12" s="15"/>
      <c r="H12" s="35">
        <f>H10-H11</f>
        <v>18583.96299999999</v>
      </c>
    </row>
    <row r="13" spans="1:8" ht="15.75" customHeight="1">
      <c r="A13" s="22">
        <v>2</v>
      </c>
      <c r="B13" s="200" t="s">
        <v>58</v>
      </c>
      <c r="C13" s="200"/>
      <c r="D13" s="200"/>
      <c r="E13" s="200"/>
      <c r="F13" s="200"/>
      <c r="G13" s="15"/>
      <c r="H13" s="34">
        <v>186088.15</v>
      </c>
    </row>
    <row r="14" spans="1:8" ht="15.75" customHeight="1">
      <c r="A14" s="22">
        <v>3</v>
      </c>
      <c r="B14" s="200" t="s">
        <v>63</v>
      </c>
      <c r="C14" s="200"/>
      <c r="D14" s="200"/>
      <c r="E14" s="200"/>
      <c r="F14" s="200"/>
      <c r="G14" s="15"/>
      <c r="H14" s="35">
        <f>H10-H13</f>
        <v>-248.51999999998952</v>
      </c>
    </row>
    <row r="15" spans="1:8" ht="15.75" customHeight="1">
      <c r="A15" s="22">
        <v>4</v>
      </c>
      <c r="B15" s="215" t="s">
        <v>64</v>
      </c>
      <c r="C15" s="215"/>
      <c r="D15" s="215"/>
      <c r="E15" s="215"/>
      <c r="F15" s="215"/>
      <c r="G15" s="15"/>
      <c r="H15" s="36">
        <f>H9+H10-H13</f>
        <v>16854.70000000001</v>
      </c>
    </row>
    <row r="16" spans="1:8" ht="15" customHeight="1">
      <c r="A16" s="22">
        <v>5</v>
      </c>
      <c r="B16" s="201" t="s">
        <v>68</v>
      </c>
      <c r="C16" s="201"/>
      <c r="D16" s="201"/>
      <c r="E16" s="201"/>
      <c r="F16" s="201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96" t="s">
        <v>18</v>
      </c>
      <c r="C18" s="196"/>
      <c r="D18" s="196"/>
      <c r="E18" s="6" t="s">
        <v>32</v>
      </c>
      <c r="F18" s="6" t="s">
        <v>24</v>
      </c>
      <c r="G18" s="12">
        <v>0.9</v>
      </c>
      <c r="H18" s="39">
        <f>ROUND(G18*$E$3*12,2)</f>
        <v>19936.8</v>
      </c>
    </row>
    <row r="19" spans="1:8" ht="15.75">
      <c r="A19" s="29" t="s">
        <v>42</v>
      </c>
      <c r="B19" s="196" t="s">
        <v>17</v>
      </c>
      <c r="C19" s="196"/>
      <c r="D19" s="19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5759.52</v>
      </c>
    </row>
    <row r="20" spans="1:8" ht="15.75">
      <c r="A20" s="28" t="s">
        <v>43</v>
      </c>
      <c r="B20" s="220" t="s">
        <v>23</v>
      </c>
      <c r="C20" s="220"/>
      <c r="D20" s="220"/>
      <c r="E20" s="7" t="s">
        <v>8</v>
      </c>
      <c r="F20" s="7" t="s">
        <v>20</v>
      </c>
      <c r="G20" s="12">
        <v>0.32</v>
      </c>
      <c r="H20" s="39">
        <f t="shared" si="0"/>
        <v>7088.64</v>
      </c>
    </row>
    <row r="21" spans="1:8" ht="33" customHeight="1">
      <c r="A21" s="29" t="s">
        <v>44</v>
      </c>
      <c r="B21" s="199" t="s">
        <v>31</v>
      </c>
      <c r="C21" s="199"/>
      <c r="D21" s="199"/>
      <c r="E21" s="8" t="s">
        <v>9</v>
      </c>
      <c r="F21" s="8" t="s">
        <v>10</v>
      </c>
      <c r="G21" s="12">
        <v>0.46</v>
      </c>
      <c r="H21" s="39">
        <f t="shared" si="0"/>
        <v>10189.92</v>
      </c>
    </row>
    <row r="22" spans="1:8" ht="63">
      <c r="A22" s="28" t="s">
        <v>47</v>
      </c>
      <c r="B22" s="220" t="s">
        <v>27</v>
      </c>
      <c r="C22" s="220"/>
      <c r="D22" s="220"/>
      <c r="E22" s="7" t="s">
        <v>34</v>
      </c>
      <c r="F22" s="7" t="s">
        <v>25</v>
      </c>
      <c r="G22" s="12">
        <v>0.11</v>
      </c>
      <c r="H22" s="39">
        <f t="shared" si="0"/>
        <v>2436.72</v>
      </c>
    </row>
    <row r="23" spans="1:8" ht="31.5">
      <c r="A23" s="29" t="s">
        <v>45</v>
      </c>
      <c r="B23" s="220" t="s">
        <v>11</v>
      </c>
      <c r="C23" s="220"/>
      <c r="D23" s="220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20" t="s">
        <v>26</v>
      </c>
      <c r="C24" s="216"/>
      <c r="D24" s="216"/>
      <c r="E24" s="9" t="s">
        <v>13</v>
      </c>
      <c r="F24" s="9" t="s">
        <v>14</v>
      </c>
      <c r="G24" s="12">
        <v>0.04</v>
      </c>
      <c r="H24" s="39">
        <f t="shared" si="0"/>
        <v>886.08</v>
      </c>
    </row>
    <row r="25" spans="1:8" ht="35.25" customHeight="1">
      <c r="A25" s="29" t="s">
        <v>48</v>
      </c>
      <c r="B25" s="200" t="s">
        <v>76</v>
      </c>
      <c r="C25" s="200"/>
      <c r="D25" s="200"/>
      <c r="E25" s="45" t="s">
        <v>13</v>
      </c>
      <c r="F25" s="46" t="s">
        <v>74</v>
      </c>
      <c r="G25" s="47">
        <v>0.22</v>
      </c>
      <c r="H25" s="48">
        <f t="shared" si="0"/>
        <v>4873.44</v>
      </c>
    </row>
    <row r="26" spans="1:8" ht="31.5">
      <c r="A26" s="28" t="s">
        <v>77</v>
      </c>
      <c r="B26" s="220" t="s">
        <v>35</v>
      </c>
      <c r="C26" s="220"/>
      <c r="D26" s="220"/>
      <c r="E26" s="6" t="s">
        <v>36</v>
      </c>
      <c r="F26" s="7" t="s">
        <v>74</v>
      </c>
      <c r="G26" s="12">
        <v>2.5</v>
      </c>
      <c r="H26" s="39">
        <f t="shared" si="0"/>
        <v>55380</v>
      </c>
    </row>
    <row r="27" spans="1:8" ht="31.5">
      <c r="A27" s="29" t="s">
        <v>78</v>
      </c>
      <c r="B27" s="196" t="s">
        <v>15</v>
      </c>
      <c r="C27" s="196"/>
      <c r="D27" s="196"/>
      <c r="E27" s="6" t="s">
        <v>36</v>
      </c>
      <c r="F27" s="7" t="s">
        <v>74</v>
      </c>
      <c r="G27" s="12">
        <v>0.38</v>
      </c>
      <c r="H27" s="39">
        <f t="shared" si="0"/>
        <v>8417.76</v>
      </c>
    </row>
    <row r="28" spans="1:8" ht="31.5">
      <c r="A28" s="28" t="s">
        <v>79</v>
      </c>
      <c r="B28" s="197" t="s">
        <v>37</v>
      </c>
      <c r="C28" s="198"/>
      <c r="D28" s="198"/>
      <c r="E28" s="6" t="s">
        <v>36</v>
      </c>
      <c r="F28" s="7" t="s">
        <v>74</v>
      </c>
      <c r="G28" s="49">
        <f>1.82-G29-G30</f>
        <v>1.82</v>
      </c>
      <c r="H28" s="39">
        <f t="shared" si="0"/>
        <v>40316.64</v>
      </c>
    </row>
    <row r="29" spans="1:8" ht="31.5">
      <c r="A29" s="29" t="s">
        <v>80</v>
      </c>
      <c r="B29" s="220" t="s">
        <v>28</v>
      </c>
      <c r="C29" s="220"/>
      <c r="D29" s="220"/>
      <c r="E29" s="6" t="s">
        <v>36</v>
      </c>
      <c r="F29" s="7" t="s">
        <v>74</v>
      </c>
      <c r="G29" s="13">
        <v>0</v>
      </c>
      <c r="H29" s="39">
        <f t="shared" si="0"/>
        <v>0</v>
      </c>
    </row>
    <row r="30" spans="1:8" ht="31.5">
      <c r="A30" s="28" t="s">
        <v>81</v>
      </c>
      <c r="B30" s="220" t="s">
        <v>29</v>
      </c>
      <c r="C30" s="220"/>
      <c r="D30" s="220"/>
      <c r="E30" s="6" t="s">
        <v>36</v>
      </c>
      <c r="F30" s="7" t="s">
        <v>74</v>
      </c>
      <c r="G30" s="13">
        <v>0</v>
      </c>
      <c r="H30" s="39">
        <f t="shared" si="0"/>
        <v>0</v>
      </c>
    </row>
    <row r="31" spans="1:8" ht="31.5">
      <c r="A31" s="29" t="s">
        <v>49</v>
      </c>
      <c r="B31" s="216" t="s">
        <v>21</v>
      </c>
      <c r="C31" s="216"/>
      <c r="D31" s="216"/>
      <c r="E31" s="6" t="s">
        <v>36</v>
      </c>
      <c r="F31" s="7" t="s">
        <v>74</v>
      </c>
      <c r="G31" s="9">
        <v>0.88</v>
      </c>
      <c r="H31" s="39">
        <f t="shared" si="0"/>
        <v>19493.76</v>
      </c>
    </row>
    <row r="32" spans="1:8" ht="15.75">
      <c r="A32" s="22" t="s">
        <v>82</v>
      </c>
      <c r="B32" s="221" t="s">
        <v>30</v>
      </c>
      <c r="C32" s="221"/>
      <c r="D32" s="221"/>
      <c r="E32" s="14"/>
      <c r="F32" s="7"/>
      <c r="G32" s="20">
        <f>SUM(G18:G31)</f>
        <v>7.890000000000001</v>
      </c>
      <c r="H32" s="40">
        <f>SUM(H18:H31)</f>
        <v>174779.28</v>
      </c>
    </row>
    <row r="33" spans="1:8" ht="15.75">
      <c r="A33" s="22" t="s">
        <v>50</v>
      </c>
      <c r="B33" s="215" t="s">
        <v>38</v>
      </c>
      <c r="C33" s="216"/>
      <c r="D33" s="216"/>
      <c r="E33" s="14"/>
      <c r="F33" s="7" t="s">
        <v>74</v>
      </c>
      <c r="G33" s="23">
        <f>H33/E3/12</f>
        <v>7.48013723365836</v>
      </c>
      <c r="H33" s="24">
        <v>165700</v>
      </c>
    </row>
    <row r="34" spans="1:8" ht="18.75">
      <c r="A34" s="25" t="s">
        <v>51</v>
      </c>
      <c r="B34" s="217" t="s">
        <v>70</v>
      </c>
      <c r="C34" s="217"/>
      <c r="D34" s="217"/>
      <c r="E34" s="217"/>
      <c r="F34" s="217"/>
      <c r="G34" s="20">
        <f>SUM(G32:G33)</f>
        <v>15.370137233658362</v>
      </c>
      <c r="H34" s="41">
        <f>SUM(H32:H33)</f>
        <v>340479.28</v>
      </c>
    </row>
    <row r="35" spans="1:8" ht="15.75" customHeight="1">
      <c r="A35" s="22" t="s">
        <v>56</v>
      </c>
      <c r="B35" s="212" t="s">
        <v>39</v>
      </c>
      <c r="C35" s="213"/>
      <c r="D35" s="213"/>
      <c r="E35" s="213"/>
      <c r="F35" s="213"/>
      <c r="G35" s="214"/>
      <c r="H35" s="31"/>
    </row>
    <row r="36" spans="1:8" ht="15.75" customHeight="1">
      <c r="A36" s="22" t="s">
        <v>52</v>
      </c>
      <c r="B36" s="208" t="s">
        <v>65</v>
      </c>
      <c r="C36" s="209"/>
      <c r="D36" s="209"/>
      <c r="E36" s="209"/>
      <c r="F36" s="209"/>
      <c r="G36" s="210"/>
      <c r="H36" s="32">
        <v>20201.13</v>
      </c>
    </row>
    <row r="37" spans="1:8" ht="15.75" customHeight="1">
      <c r="A37" s="22" t="s">
        <v>53</v>
      </c>
      <c r="B37" s="208" t="s">
        <v>66</v>
      </c>
      <c r="C37" s="209"/>
      <c r="D37" s="209"/>
      <c r="E37" s="209"/>
      <c r="F37" s="209"/>
      <c r="G37" s="210"/>
      <c r="H37" s="42">
        <f>H13-H34</f>
        <v>-154391.13000000003</v>
      </c>
    </row>
    <row r="38" spans="1:8" ht="19.5" customHeight="1">
      <c r="A38" s="22" t="s">
        <v>54</v>
      </c>
      <c r="B38" s="208" t="s">
        <v>67</v>
      </c>
      <c r="C38" s="209"/>
      <c r="D38" s="209"/>
      <c r="E38" s="209"/>
      <c r="F38" s="209"/>
      <c r="G38" s="210"/>
      <c r="H38" s="42">
        <f>H36+H37</f>
        <v>-134190.00000000003</v>
      </c>
    </row>
    <row r="39" spans="2:6" ht="15.75">
      <c r="B39" s="33"/>
      <c r="F39" s="33"/>
    </row>
    <row r="40" spans="1:8" ht="15.75">
      <c r="A40" s="207" t="s">
        <v>71</v>
      </c>
      <c r="B40" s="207"/>
      <c r="C40" s="207"/>
      <c r="D40" s="207"/>
      <c r="E40" s="207"/>
      <c r="F40" s="207"/>
      <c r="G40" s="207"/>
      <c r="H40" s="207"/>
    </row>
    <row r="41" spans="1:8" ht="15.75">
      <c r="A41" s="144"/>
      <c r="B41" s="144"/>
      <c r="C41" s="144"/>
      <c r="D41" s="144"/>
      <c r="E41" s="144"/>
      <c r="F41" s="144"/>
      <c r="G41" s="144"/>
      <c r="H41" s="144"/>
    </row>
    <row r="42" spans="1:3" ht="15.75">
      <c r="A42" s="33"/>
      <c r="B42" s="33"/>
      <c r="C42" s="33"/>
    </row>
    <row r="43" spans="1:3" ht="15.75">
      <c r="A43" s="43" t="s">
        <v>72</v>
      </c>
      <c r="B43" s="43"/>
      <c r="C43" s="43"/>
    </row>
    <row r="44" spans="1:7" ht="15.75" customHeight="1">
      <c r="A44" s="211" t="s">
        <v>86</v>
      </c>
      <c r="B44" s="211"/>
      <c r="C44" s="211"/>
      <c r="D44" s="211"/>
      <c r="E44" s="211"/>
      <c r="F44" s="211"/>
      <c r="G44" s="211"/>
    </row>
    <row r="45" spans="1:3" ht="15.75">
      <c r="A45" s="202" t="s">
        <v>75</v>
      </c>
      <c r="B45" s="202"/>
      <c r="C45" s="202"/>
    </row>
  </sheetData>
  <mergeCells count="36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7:D27"/>
    <mergeCell ref="B28:D28"/>
    <mergeCell ref="B21:D21"/>
    <mergeCell ref="B22:D22"/>
    <mergeCell ref="B23:D23"/>
    <mergeCell ref="B24:D24"/>
    <mergeCell ref="B25:D25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6:D26"/>
    <mergeCell ref="A40:H40"/>
    <mergeCell ref="A45:C45"/>
    <mergeCell ref="B36:G36"/>
    <mergeCell ref="B37:G37"/>
    <mergeCell ref="B38:G38"/>
    <mergeCell ref="A44:G44"/>
  </mergeCells>
  <printOptions/>
  <pageMargins left="0.31496062992125984" right="0" top="0" bottom="0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9">
      <selection activeCell="H25" sqref="H25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0.12890625" style="0" hidden="1" customWidth="1"/>
    <col min="7" max="7" width="0.12890625" style="0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203" t="s">
        <v>207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54" customHeight="1">
      <c r="A2" s="161" t="s">
        <v>208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9" ht="18.75">
      <c r="A3" s="1" t="s">
        <v>139</v>
      </c>
      <c r="B3" s="1" t="s">
        <v>84</v>
      </c>
      <c r="C3" s="2"/>
      <c r="D3" s="2" t="s">
        <v>0</v>
      </c>
      <c r="E3" s="26">
        <v>1846</v>
      </c>
      <c r="F3" s="2"/>
      <c r="H3" s="86">
        <v>225.4</v>
      </c>
      <c r="I3" s="86"/>
    </row>
    <row r="4" spans="2:8" ht="15.75">
      <c r="B4" s="3" t="s">
        <v>1</v>
      </c>
      <c r="C4" s="44">
        <v>3</v>
      </c>
      <c r="D4" s="2" t="s">
        <v>2</v>
      </c>
      <c r="E4" s="27">
        <v>31</v>
      </c>
      <c r="F4" s="2"/>
      <c r="H4" t="s">
        <v>99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141</v>
      </c>
    </row>
    <row r="7" spans="1:10" ht="39" customHeight="1">
      <c r="A7" s="21" t="s">
        <v>55</v>
      </c>
      <c r="B7" s="222" t="s">
        <v>142</v>
      </c>
      <c r="C7" s="223"/>
      <c r="D7" s="224"/>
      <c r="E7" s="11" t="s">
        <v>6</v>
      </c>
      <c r="F7" s="11" t="s">
        <v>7</v>
      </c>
      <c r="G7" s="87" t="s">
        <v>22</v>
      </c>
      <c r="H7" s="225" t="s">
        <v>143</v>
      </c>
      <c r="I7" s="226"/>
      <c r="J7" s="227"/>
    </row>
    <row r="8" spans="1:10" ht="15.75">
      <c r="A8" s="22">
        <v>1</v>
      </c>
      <c r="B8" s="194"/>
      <c r="C8" s="195"/>
      <c r="D8" s="195"/>
      <c r="E8" s="195"/>
      <c r="F8" s="160"/>
      <c r="G8" s="88"/>
      <c r="H8" s="89" t="s">
        <v>144</v>
      </c>
      <c r="I8" s="90" t="s">
        <v>145</v>
      </c>
      <c r="J8" s="90" t="s">
        <v>146</v>
      </c>
    </row>
    <row r="9" spans="1:10" ht="15.75">
      <c r="A9" s="22"/>
      <c r="B9" s="194" t="s">
        <v>147</v>
      </c>
      <c r="C9" s="195"/>
      <c r="D9" s="195"/>
      <c r="E9" s="195"/>
      <c r="F9" s="160"/>
      <c r="G9" s="91"/>
      <c r="H9" s="91"/>
      <c r="I9" s="57"/>
      <c r="J9" s="90"/>
    </row>
    <row r="10" spans="1:10" ht="15.75" customHeight="1">
      <c r="A10" s="92"/>
      <c r="B10" s="200" t="s">
        <v>148</v>
      </c>
      <c r="C10" s="200"/>
      <c r="D10" s="200"/>
      <c r="E10" s="200"/>
      <c r="F10" s="200"/>
      <c r="G10" s="15"/>
      <c r="H10" s="117">
        <v>184935.27</v>
      </c>
      <c r="I10" s="119"/>
      <c r="J10" s="117">
        <f>H10+I10</f>
        <v>184935.27</v>
      </c>
    </row>
    <row r="11" spans="1:10" ht="15.75" customHeight="1">
      <c r="A11" s="92"/>
      <c r="B11" s="200" t="s">
        <v>149</v>
      </c>
      <c r="C11" s="200"/>
      <c r="D11" s="200"/>
      <c r="E11" s="200"/>
      <c r="F11" s="200"/>
      <c r="G11" s="15"/>
      <c r="H11" s="117">
        <v>11440.99</v>
      </c>
      <c r="I11" s="119"/>
      <c r="J11" s="117">
        <f>H11+I11</f>
        <v>11440.99</v>
      </c>
    </row>
    <row r="12" spans="1:10" ht="15.75" customHeight="1">
      <c r="A12" s="22"/>
      <c r="B12" s="200" t="s">
        <v>150</v>
      </c>
      <c r="C12" s="200"/>
      <c r="D12" s="200"/>
      <c r="E12" s="200"/>
      <c r="F12" s="200"/>
      <c r="G12" s="15"/>
      <c r="H12" s="117"/>
      <c r="I12" s="119">
        <v>25781.92</v>
      </c>
      <c r="J12" s="117">
        <f>H12+I12</f>
        <v>25781.92</v>
      </c>
    </row>
    <row r="13" spans="1:10" ht="15.75">
      <c r="A13" s="22"/>
      <c r="B13" s="200" t="s">
        <v>151</v>
      </c>
      <c r="C13" s="200"/>
      <c r="D13" s="200"/>
      <c r="E13" s="200"/>
      <c r="F13" s="200"/>
      <c r="G13" s="15"/>
      <c r="H13" s="119">
        <v>0</v>
      </c>
      <c r="I13" s="119"/>
      <c r="J13" s="117">
        <f>H13+I13</f>
        <v>0</v>
      </c>
    </row>
    <row r="14" spans="1:10" ht="15.75" customHeight="1">
      <c r="A14" s="22"/>
      <c r="B14" s="215" t="s">
        <v>152</v>
      </c>
      <c r="C14" s="215"/>
      <c r="D14" s="215"/>
      <c r="E14" s="215"/>
      <c r="F14" s="215"/>
      <c r="G14" s="15"/>
      <c r="H14" s="124">
        <f>SUM(H10:H13)</f>
        <v>196376.25999999998</v>
      </c>
      <c r="I14" s="121">
        <f>SUM(I10:I12)</f>
        <v>25781.92</v>
      </c>
      <c r="J14" s="124">
        <f>SUM(J10:J13)</f>
        <v>222158.18</v>
      </c>
    </row>
    <row r="15" spans="1:10" ht="18.75" customHeight="1">
      <c r="A15" s="22">
        <v>2</v>
      </c>
      <c r="B15" s="201" t="s">
        <v>68</v>
      </c>
      <c r="C15" s="201"/>
      <c r="D15" s="201"/>
      <c r="E15" s="201"/>
      <c r="F15" s="201"/>
      <c r="G15" s="15"/>
      <c r="H15" s="125"/>
      <c r="I15" s="126"/>
      <c r="J15" s="127"/>
    </row>
    <row r="16" spans="1:10" ht="15.75">
      <c r="A16" s="22" t="s">
        <v>136</v>
      </c>
      <c r="B16" s="18" t="s">
        <v>69</v>
      </c>
      <c r="C16" s="18"/>
      <c r="D16" s="18"/>
      <c r="E16" s="18"/>
      <c r="F16" s="5"/>
      <c r="G16" s="89"/>
      <c r="H16" s="118"/>
      <c r="I16" s="128"/>
      <c r="J16" s="129"/>
    </row>
    <row r="17" spans="1:10" ht="33.75" customHeight="1">
      <c r="A17" s="94"/>
      <c r="B17" s="228" t="s">
        <v>212</v>
      </c>
      <c r="C17" s="228"/>
      <c r="D17" s="228"/>
      <c r="E17" s="95" t="s">
        <v>32</v>
      </c>
      <c r="F17" s="82" t="s">
        <v>24</v>
      </c>
      <c r="G17" s="47">
        <v>0.92</v>
      </c>
      <c r="H17" s="130">
        <f>ROUND(G17*$E$3*12,2)</f>
        <v>20379.84</v>
      </c>
      <c r="I17" s="131">
        <f>$I$12*0.08</f>
        <v>2062.5535999999997</v>
      </c>
      <c r="J17" s="132">
        <f>SUM(H17:I17)</f>
        <v>22442.3936</v>
      </c>
    </row>
    <row r="18" spans="1:10" ht="17.25" customHeight="1">
      <c r="A18" s="22"/>
      <c r="B18" s="229" t="s">
        <v>17</v>
      </c>
      <c r="C18" s="229"/>
      <c r="D18" s="229"/>
      <c r="E18" s="95" t="s">
        <v>32</v>
      </c>
      <c r="F18" s="82" t="s">
        <v>19</v>
      </c>
      <c r="G18" s="47">
        <v>0.26</v>
      </c>
      <c r="H18" s="130">
        <f>ROUND(G18*$E$3*12,2)</f>
        <v>5759.52</v>
      </c>
      <c r="I18" s="131">
        <f>$I$12*0.02</f>
        <v>515.6383999999999</v>
      </c>
      <c r="J18" s="132">
        <f aca="true" t="shared" si="0" ref="J18:J37">SUM(H18:I18)</f>
        <v>6275.1584</v>
      </c>
    </row>
    <row r="19" spans="1:10" ht="20.25" customHeight="1">
      <c r="A19" s="22"/>
      <c r="B19" s="230" t="s">
        <v>23</v>
      </c>
      <c r="C19" s="230"/>
      <c r="D19" s="230"/>
      <c r="E19" s="96" t="s">
        <v>153</v>
      </c>
      <c r="F19" s="46" t="s">
        <v>20</v>
      </c>
      <c r="G19" s="47">
        <v>0.35</v>
      </c>
      <c r="H19" s="130">
        <f>J19-I19</f>
        <v>5037.1956</v>
      </c>
      <c r="I19" s="131">
        <f>$I$12*0.07</f>
        <v>1804.7344</v>
      </c>
      <c r="J19" s="132">
        <v>6841.93</v>
      </c>
    </row>
    <row r="20" spans="1:10" ht="20.25" customHeight="1">
      <c r="A20" s="94"/>
      <c r="B20" s="228" t="s">
        <v>31</v>
      </c>
      <c r="C20" s="228"/>
      <c r="D20" s="228"/>
      <c r="E20" s="97" t="s">
        <v>9</v>
      </c>
      <c r="F20" s="83" t="s">
        <v>10</v>
      </c>
      <c r="G20" s="47">
        <v>0.46</v>
      </c>
      <c r="H20" s="130">
        <f>ROUND(G20*$E$3*12,2)</f>
        <v>10189.92</v>
      </c>
      <c r="I20" s="131">
        <f>$I$12*0.04</f>
        <v>1031.2767999999999</v>
      </c>
      <c r="J20" s="132">
        <f t="shared" si="0"/>
        <v>11221.1968</v>
      </c>
    </row>
    <row r="21" spans="1:10" ht="49.5" customHeight="1">
      <c r="A21" s="22"/>
      <c r="B21" s="230" t="s">
        <v>27</v>
      </c>
      <c r="C21" s="230"/>
      <c r="D21" s="230"/>
      <c r="E21" s="96" t="s">
        <v>154</v>
      </c>
      <c r="F21" s="46" t="s">
        <v>25</v>
      </c>
      <c r="G21" s="47">
        <v>0.11</v>
      </c>
      <c r="H21" s="130">
        <f>J21-I21</f>
        <v>1424.5308</v>
      </c>
      <c r="I21" s="131">
        <f>$I$12*0.01</f>
        <v>257.81919999999997</v>
      </c>
      <c r="J21" s="132">
        <v>1682.35</v>
      </c>
    </row>
    <row r="22" spans="1:10" ht="20.25" customHeight="1">
      <c r="A22" s="94"/>
      <c r="B22" s="230" t="s">
        <v>11</v>
      </c>
      <c r="C22" s="230"/>
      <c r="D22" s="230"/>
      <c r="E22" s="96" t="s">
        <v>9</v>
      </c>
      <c r="F22" s="46" t="s">
        <v>12</v>
      </c>
      <c r="G22" s="47">
        <v>0</v>
      </c>
      <c r="H22" s="130">
        <f>J22-I22</f>
        <v>0</v>
      </c>
      <c r="I22" s="131">
        <v>0</v>
      </c>
      <c r="J22" s="132">
        <f>G22*E3*12</f>
        <v>0</v>
      </c>
    </row>
    <row r="23" spans="1:10" ht="20.25" customHeight="1">
      <c r="A23" s="94"/>
      <c r="B23" s="230" t="s">
        <v>26</v>
      </c>
      <c r="C23" s="231"/>
      <c r="D23" s="231"/>
      <c r="E23" s="98" t="s">
        <v>13</v>
      </c>
      <c r="F23" s="45" t="s">
        <v>14</v>
      </c>
      <c r="G23" s="47">
        <v>0.04</v>
      </c>
      <c r="H23" s="130">
        <f>J23-I23</f>
        <v>1676.64424</v>
      </c>
      <c r="I23" s="131">
        <f>$I$12*0.003</f>
        <v>77.34576</v>
      </c>
      <c r="J23" s="132">
        <v>1753.99</v>
      </c>
    </row>
    <row r="24" spans="1:10" ht="28.5" customHeight="1">
      <c r="A24" s="22"/>
      <c r="B24" s="230" t="s">
        <v>155</v>
      </c>
      <c r="C24" s="230"/>
      <c r="D24" s="230"/>
      <c r="E24" s="95" t="s">
        <v>36</v>
      </c>
      <c r="F24" s="99" t="s">
        <v>156</v>
      </c>
      <c r="G24" s="47">
        <v>1.87</v>
      </c>
      <c r="H24" s="130">
        <f aca="true" t="shared" si="1" ref="H24:H29">ROUND(G24*$E$3*12,2)</f>
        <v>41424.24</v>
      </c>
      <c r="I24" s="131">
        <f>$I$12*0.19</f>
        <v>4898.5648</v>
      </c>
      <c r="J24" s="132">
        <f t="shared" si="0"/>
        <v>46322.8048</v>
      </c>
    </row>
    <row r="25" spans="1:10" ht="26.25" customHeight="1">
      <c r="A25" s="22"/>
      <c r="B25" s="229" t="s">
        <v>15</v>
      </c>
      <c r="C25" s="229"/>
      <c r="D25" s="229"/>
      <c r="E25" s="95" t="s">
        <v>36</v>
      </c>
      <c r="F25" s="99" t="s">
        <v>156</v>
      </c>
      <c r="G25" s="47">
        <v>0.38</v>
      </c>
      <c r="H25" s="130">
        <f t="shared" si="1"/>
        <v>8417.76</v>
      </c>
      <c r="I25" s="131">
        <v>0</v>
      </c>
      <c r="J25" s="132">
        <f t="shared" si="0"/>
        <v>8417.76</v>
      </c>
    </row>
    <row r="26" spans="1:10" ht="30" customHeight="1">
      <c r="A26" s="22"/>
      <c r="B26" s="232" t="s">
        <v>37</v>
      </c>
      <c r="C26" s="233"/>
      <c r="D26" s="234"/>
      <c r="E26" s="95" t="s">
        <v>36</v>
      </c>
      <c r="F26" s="99" t="s">
        <v>156</v>
      </c>
      <c r="G26" s="49">
        <f>2.97-G27-G28</f>
        <v>2.97</v>
      </c>
      <c r="H26" s="130">
        <f t="shared" si="1"/>
        <v>65791.44</v>
      </c>
      <c r="I26" s="131">
        <f>$I$12*(0.18+0.04)</f>
        <v>5672.0224</v>
      </c>
      <c r="J26" s="132">
        <f t="shared" si="0"/>
        <v>71463.4624</v>
      </c>
    </row>
    <row r="27" spans="1:10" ht="26.25" customHeight="1">
      <c r="A27" s="94"/>
      <c r="B27" s="230" t="s">
        <v>157</v>
      </c>
      <c r="C27" s="230"/>
      <c r="D27" s="230"/>
      <c r="E27" s="95" t="s">
        <v>36</v>
      </c>
      <c r="F27" s="99" t="s">
        <v>156</v>
      </c>
      <c r="G27" s="49">
        <v>0</v>
      </c>
      <c r="H27" s="130">
        <f t="shared" si="1"/>
        <v>0</v>
      </c>
      <c r="I27" s="131">
        <v>0</v>
      </c>
      <c r="J27" s="132">
        <f t="shared" si="0"/>
        <v>0</v>
      </c>
    </row>
    <row r="28" spans="1:10" ht="17.25" customHeight="1">
      <c r="A28" s="22"/>
      <c r="B28" s="230" t="s">
        <v>158</v>
      </c>
      <c r="C28" s="230"/>
      <c r="D28" s="230"/>
      <c r="E28" s="96" t="s">
        <v>9</v>
      </c>
      <c r="F28" s="99" t="s">
        <v>156</v>
      </c>
      <c r="G28" s="49">
        <v>0</v>
      </c>
      <c r="H28" s="130">
        <f t="shared" si="1"/>
        <v>0</v>
      </c>
      <c r="I28" s="131">
        <v>0</v>
      </c>
      <c r="J28" s="132">
        <f t="shared" si="0"/>
        <v>0</v>
      </c>
    </row>
    <row r="29" spans="1:10" ht="17.25" customHeight="1">
      <c r="A29" s="22"/>
      <c r="B29" s="231" t="s">
        <v>21</v>
      </c>
      <c r="C29" s="231"/>
      <c r="D29" s="231"/>
      <c r="E29" s="96" t="s">
        <v>9</v>
      </c>
      <c r="F29" s="99" t="s">
        <v>156</v>
      </c>
      <c r="G29" s="45">
        <v>0.92</v>
      </c>
      <c r="H29" s="130">
        <f t="shared" si="1"/>
        <v>20379.84</v>
      </c>
      <c r="I29" s="131">
        <f>$I$12*0.1</f>
        <v>2578.192</v>
      </c>
      <c r="J29" s="132">
        <f t="shared" si="0"/>
        <v>22958.032</v>
      </c>
    </row>
    <row r="30" spans="1:10" ht="21.75" customHeight="1">
      <c r="A30" s="22"/>
      <c r="B30" s="235" t="s">
        <v>159</v>
      </c>
      <c r="C30" s="236"/>
      <c r="D30" s="237"/>
      <c r="E30" s="96" t="s">
        <v>9</v>
      </c>
      <c r="F30" s="99"/>
      <c r="G30" s="45"/>
      <c r="H30" s="130"/>
      <c r="I30" s="131"/>
      <c r="J30" s="133"/>
    </row>
    <row r="31" spans="1:10" ht="27.75" customHeight="1">
      <c r="A31" s="22"/>
      <c r="B31" s="235" t="s">
        <v>160</v>
      </c>
      <c r="C31" s="236"/>
      <c r="D31" s="237"/>
      <c r="E31" s="95" t="s">
        <v>36</v>
      </c>
      <c r="F31" s="99"/>
      <c r="G31" s="45"/>
      <c r="H31" s="130"/>
      <c r="I31" s="131"/>
      <c r="J31" s="133"/>
    </row>
    <row r="32" spans="1:10" ht="15.75">
      <c r="A32" s="22"/>
      <c r="B32" s="238"/>
      <c r="C32" s="233"/>
      <c r="D32" s="234"/>
      <c r="E32" s="96"/>
      <c r="F32" s="99"/>
      <c r="G32" s="45"/>
      <c r="H32" s="130"/>
      <c r="I32" s="131"/>
      <c r="J32" s="133"/>
    </row>
    <row r="33" spans="1:10" ht="15.75">
      <c r="A33" s="22"/>
      <c r="B33" s="238"/>
      <c r="C33" s="233"/>
      <c r="D33" s="234"/>
      <c r="E33" s="96"/>
      <c r="F33" s="99"/>
      <c r="G33" s="45"/>
      <c r="H33" s="130"/>
      <c r="I33" s="131"/>
      <c r="J33" s="133"/>
    </row>
    <row r="34" spans="1:10" ht="15.75">
      <c r="A34" s="22"/>
      <c r="B34" s="221" t="s">
        <v>30</v>
      </c>
      <c r="C34" s="221"/>
      <c r="D34" s="221"/>
      <c r="E34" s="14"/>
      <c r="F34" s="99"/>
      <c r="G34" s="20">
        <f>SUM(G17:G29)</f>
        <v>8.28</v>
      </c>
      <c r="H34" s="120">
        <f>SUM(H17:H33)</f>
        <v>180480.93064</v>
      </c>
      <c r="I34" s="121">
        <f>SUM(I17:I33)</f>
        <v>18898.14736</v>
      </c>
      <c r="J34" s="120">
        <f>SUM(J17:J33)</f>
        <v>199379.078</v>
      </c>
    </row>
    <row r="35" spans="1:10" ht="15" customHeight="1">
      <c r="A35" s="22" t="s">
        <v>137</v>
      </c>
      <c r="B35" s="239" t="s">
        <v>161</v>
      </c>
      <c r="C35" s="240"/>
      <c r="D35" s="240"/>
      <c r="E35" s="241"/>
      <c r="F35" s="99" t="s">
        <v>156</v>
      </c>
      <c r="G35" s="23">
        <f>H35/E3/12</f>
        <v>0.8053448898519321</v>
      </c>
      <c r="H35" s="121">
        <v>17840</v>
      </c>
      <c r="I35" s="132">
        <v>0</v>
      </c>
      <c r="J35" s="124">
        <f t="shared" si="0"/>
        <v>17840</v>
      </c>
    </row>
    <row r="36" spans="1:10" ht="14.25" customHeight="1">
      <c r="A36" s="25"/>
      <c r="B36" s="242" t="s">
        <v>70</v>
      </c>
      <c r="C36" s="242"/>
      <c r="D36" s="242"/>
      <c r="E36" s="242"/>
      <c r="F36" s="242"/>
      <c r="G36" s="20">
        <f>SUM(G34:G35)</f>
        <v>9.085344889851932</v>
      </c>
      <c r="H36" s="122">
        <f>SUM(H34:H35)</f>
        <v>198320.93064</v>
      </c>
      <c r="I36" s="123">
        <f>SUM(I34:I35)</f>
        <v>18898.14736</v>
      </c>
      <c r="J36" s="122">
        <f>SUM(J34:J35)</f>
        <v>217219.078</v>
      </c>
    </row>
    <row r="37" spans="1:10" ht="15.75">
      <c r="A37" s="22" t="s">
        <v>138</v>
      </c>
      <c r="B37" s="243" t="s">
        <v>162</v>
      </c>
      <c r="C37" s="243"/>
      <c r="D37" s="243"/>
      <c r="E37" s="243"/>
      <c r="F37" s="243"/>
      <c r="G37" s="23"/>
      <c r="H37" s="123">
        <v>0</v>
      </c>
      <c r="I37" s="123">
        <v>0</v>
      </c>
      <c r="J37" s="133">
        <f t="shared" si="0"/>
        <v>0</v>
      </c>
    </row>
    <row r="38" spans="1:10" ht="24.75" customHeight="1">
      <c r="A38" s="25"/>
      <c r="B38" s="242" t="s">
        <v>163</v>
      </c>
      <c r="C38" s="242"/>
      <c r="D38" s="242"/>
      <c r="E38" s="242"/>
      <c r="F38" s="242"/>
      <c r="G38" s="20">
        <f>SUM(G36:G37)</f>
        <v>9.085344889851932</v>
      </c>
      <c r="H38" s="122">
        <f>SUM(H36:H37)</f>
        <v>198320.93064</v>
      </c>
      <c r="I38" s="123">
        <f>SUM(I36:I37)</f>
        <v>18898.14736</v>
      </c>
      <c r="J38" s="122">
        <f>SUM(J36:J37)</f>
        <v>217219.078</v>
      </c>
    </row>
    <row r="39" spans="1:10" ht="27" customHeight="1">
      <c r="A39" s="22">
        <v>3</v>
      </c>
      <c r="B39" s="208" t="s">
        <v>164</v>
      </c>
      <c r="C39" s="209"/>
      <c r="D39" s="209"/>
      <c r="E39" s="209"/>
      <c r="F39" s="209"/>
      <c r="G39" s="210"/>
      <c r="H39" s="130">
        <f>H14-H38</f>
        <v>-1944.6706400000257</v>
      </c>
      <c r="I39" s="130">
        <f>I14-I38</f>
        <v>6883.772639999999</v>
      </c>
      <c r="J39" s="121">
        <f>J14-J38</f>
        <v>4939.101999999984</v>
      </c>
    </row>
    <row r="40" spans="2:6" ht="15.75">
      <c r="B40" s="33"/>
      <c r="F40" s="33"/>
    </row>
    <row r="41" spans="2:9" ht="36" customHeight="1">
      <c r="B41" s="207" t="s">
        <v>165</v>
      </c>
      <c r="C41" s="207"/>
      <c r="D41" s="207"/>
      <c r="E41" s="207"/>
      <c r="F41" s="207"/>
      <c r="G41" s="207"/>
      <c r="H41" s="207"/>
      <c r="I41" s="207"/>
    </row>
    <row r="42" spans="2:4" ht="25.5" customHeight="1">
      <c r="B42" s="33"/>
      <c r="C42" s="33"/>
      <c r="D42" s="33"/>
    </row>
    <row r="43" spans="2:4" ht="15.75">
      <c r="B43" s="43" t="s">
        <v>72</v>
      </c>
      <c r="C43" s="43"/>
      <c r="D43" s="43"/>
    </row>
    <row r="44" spans="2:9" ht="34.5" customHeight="1">
      <c r="B44" s="211" t="s">
        <v>209</v>
      </c>
      <c r="C44" s="211"/>
      <c r="D44" s="211"/>
      <c r="E44" s="211"/>
      <c r="F44" s="211"/>
      <c r="G44" s="211"/>
      <c r="H44" s="211"/>
      <c r="I44" s="33"/>
    </row>
    <row r="45" spans="2:4" ht="15.75" customHeight="1">
      <c r="B45" s="202" t="s">
        <v>75</v>
      </c>
      <c r="C45" s="202"/>
      <c r="D45" s="202"/>
    </row>
  </sheetData>
  <mergeCells count="38">
    <mergeCell ref="B45:D45"/>
    <mergeCell ref="B44:H44"/>
    <mergeCell ref="B37:F37"/>
    <mergeCell ref="B38:F38"/>
    <mergeCell ref="B39:G39"/>
    <mergeCell ref="B41:I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60" workbookViewId="0" topLeftCell="A4">
      <selection activeCell="H20" sqref="H20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3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203" t="s">
        <v>211</v>
      </c>
      <c r="B1" s="203"/>
      <c r="C1" s="203"/>
      <c r="D1" s="203"/>
      <c r="E1" s="203"/>
      <c r="F1" s="203"/>
      <c r="G1" s="203"/>
      <c r="H1" s="203"/>
    </row>
    <row r="2" spans="1:6" ht="18.75">
      <c r="A2" s="1" t="s">
        <v>139</v>
      </c>
      <c r="B2" s="1" t="s">
        <v>84</v>
      </c>
      <c r="C2" s="2"/>
      <c r="D2" s="2" t="s">
        <v>0</v>
      </c>
      <c r="E2" s="26">
        <v>1846</v>
      </c>
      <c r="F2" s="2"/>
    </row>
    <row r="3" spans="2:6" ht="15.75">
      <c r="B3" s="3" t="s">
        <v>1</v>
      </c>
      <c r="C3" s="44">
        <v>3</v>
      </c>
      <c r="D3" s="2" t="s">
        <v>2</v>
      </c>
      <c r="E3" s="27">
        <v>31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6" customHeight="1">
      <c r="A6" s="77" t="s">
        <v>55</v>
      </c>
      <c r="B6" s="245" t="s">
        <v>142</v>
      </c>
      <c r="C6" s="246"/>
      <c r="D6" s="247"/>
      <c r="E6" s="78" t="s">
        <v>6</v>
      </c>
      <c r="F6" s="78" t="s">
        <v>7</v>
      </c>
      <c r="G6" s="102" t="s">
        <v>196</v>
      </c>
      <c r="H6" s="103" t="s">
        <v>132</v>
      </c>
    </row>
    <row r="7" spans="1:8" ht="15.75" customHeight="1">
      <c r="A7" s="79">
        <v>1</v>
      </c>
      <c r="B7" s="248" t="s">
        <v>133</v>
      </c>
      <c r="C7" s="248"/>
      <c r="D7" s="248"/>
      <c r="E7" s="248"/>
      <c r="F7" s="248"/>
      <c r="G7" s="80"/>
      <c r="H7" s="104"/>
    </row>
    <row r="8" spans="1:8" ht="33.75" customHeight="1">
      <c r="A8" s="79"/>
      <c r="B8" s="215" t="s">
        <v>197</v>
      </c>
      <c r="C8" s="215"/>
      <c r="D8" s="215"/>
      <c r="E8" s="215"/>
      <c r="F8" s="215"/>
      <c r="G8" s="23">
        <f>G30</f>
        <v>10.580000000000002</v>
      </c>
      <c r="H8" s="81">
        <f>ROUND(E2*G8*12,2)</f>
        <v>234368.16</v>
      </c>
    </row>
    <row r="9" spans="1:8" ht="15.75" customHeight="1">
      <c r="A9" s="79"/>
      <c r="B9" s="244" t="s">
        <v>134</v>
      </c>
      <c r="C9" s="244"/>
      <c r="D9" s="244"/>
      <c r="E9" s="244"/>
      <c r="F9" s="244"/>
      <c r="G9" s="22">
        <v>0.76</v>
      </c>
      <c r="H9" s="104">
        <f>ROUND($E$2*G9*12,0)</f>
        <v>16836</v>
      </c>
    </row>
    <row r="10" spans="1:8" ht="18.75" customHeight="1">
      <c r="A10" s="79">
        <v>2</v>
      </c>
      <c r="B10" s="201" t="s">
        <v>68</v>
      </c>
      <c r="C10" s="201"/>
      <c r="D10" s="201"/>
      <c r="E10" s="201"/>
      <c r="F10" s="201"/>
      <c r="G10" s="45"/>
      <c r="H10" s="104"/>
    </row>
    <row r="11" spans="1:8" ht="15.75" customHeight="1">
      <c r="A11" s="79"/>
      <c r="B11" s="18" t="s">
        <v>69</v>
      </c>
      <c r="C11" s="18"/>
      <c r="D11" s="18"/>
      <c r="E11" s="18"/>
      <c r="F11" s="5"/>
      <c r="G11" s="91"/>
      <c r="H11" s="104"/>
    </row>
    <row r="12" spans="1:8" ht="32.25" customHeight="1">
      <c r="A12" s="105"/>
      <c r="B12" s="250" t="s">
        <v>212</v>
      </c>
      <c r="C12" s="250"/>
      <c r="D12" s="250"/>
      <c r="E12" s="95" t="s">
        <v>32</v>
      </c>
      <c r="F12" s="82" t="s">
        <v>24</v>
      </c>
      <c r="G12" s="47">
        <v>1.06</v>
      </c>
      <c r="H12" s="81">
        <f aca="true" t="shared" si="0" ref="H12:H30">ROUND($E$2*G12*12,0)</f>
        <v>23481</v>
      </c>
    </row>
    <row r="13" spans="1:8" ht="18.75" customHeight="1">
      <c r="A13" s="105"/>
      <c r="B13" s="250" t="s">
        <v>17</v>
      </c>
      <c r="C13" s="250"/>
      <c r="D13" s="250"/>
      <c r="E13" s="95" t="s">
        <v>32</v>
      </c>
      <c r="F13" s="82" t="s">
        <v>19</v>
      </c>
      <c r="G13" s="47">
        <v>0.28</v>
      </c>
      <c r="H13" s="81">
        <f t="shared" si="0"/>
        <v>6203</v>
      </c>
    </row>
    <row r="14" spans="1:8" ht="18.75" customHeight="1">
      <c r="A14" s="105"/>
      <c r="B14" s="249" t="s">
        <v>23</v>
      </c>
      <c r="C14" s="249"/>
      <c r="D14" s="249"/>
      <c r="E14" s="96" t="s">
        <v>153</v>
      </c>
      <c r="F14" s="46" t="s">
        <v>20</v>
      </c>
      <c r="G14" s="47">
        <v>0.39</v>
      </c>
      <c r="H14" s="81">
        <f t="shared" si="0"/>
        <v>8639</v>
      </c>
    </row>
    <row r="15" spans="1:8" ht="15.75" customHeight="1">
      <c r="A15" s="105"/>
      <c r="B15" s="251" t="s">
        <v>31</v>
      </c>
      <c r="C15" s="251"/>
      <c r="D15" s="251"/>
      <c r="E15" s="97" t="s">
        <v>9</v>
      </c>
      <c r="F15" s="83" t="s">
        <v>10</v>
      </c>
      <c r="G15" s="47">
        <v>0.51</v>
      </c>
      <c r="H15" s="81">
        <f t="shared" si="0"/>
        <v>11298</v>
      </c>
    </row>
    <row r="16" spans="1:8" ht="51.75" customHeight="1">
      <c r="A16" s="105"/>
      <c r="B16" s="249" t="s">
        <v>27</v>
      </c>
      <c r="C16" s="249"/>
      <c r="D16" s="249"/>
      <c r="E16" s="96" t="s">
        <v>154</v>
      </c>
      <c r="F16" s="46" t="s">
        <v>25</v>
      </c>
      <c r="G16" s="47">
        <v>0.12</v>
      </c>
      <c r="H16" s="81">
        <f t="shared" si="0"/>
        <v>2658</v>
      </c>
    </row>
    <row r="17" spans="1:8" ht="34.5" customHeight="1">
      <c r="A17" s="105"/>
      <c r="B17" s="249" t="s">
        <v>11</v>
      </c>
      <c r="C17" s="249"/>
      <c r="D17" s="249"/>
      <c r="E17" s="96" t="s">
        <v>9</v>
      </c>
      <c r="F17" s="46" t="s">
        <v>12</v>
      </c>
      <c r="G17" s="47">
        <v>0</v>
      </c>
      <c r="H17" s="81">
        <f t="shared" si="0"/>
        <v>0</v>
      </c>
    </row>
    <row r="18" spans="1:8" ht="30.75" customHeight="1">
      <c r="A18" s="105"/>
      <c r="B18" s="249" t="s">
        <v>26</v>
      </c>
      <c r="C18" s="252"/>
      <c r="D18" s="252"/>
      <c r="E18" s="98" t="s">
        <v>13</v>
      </c>
      <c r="F18" s="45" t="s">
        <v>198</v>
      </c>
      <c r="G18" s="47">
        <v>0.05</v>
      </c>
      <c r="H18" s="81">
        <f t="shared" si="0"/>
        <v>1108</v>
      </c>
    </row>
    <row r="19" spans="1:8" ht="30" customHeight="1">
      <c r="A19" s="105"/>
      <c r="B19" s="249" t="s">
        <v>155</v>
      </c>
      <c r="C19" s="249"/>
      <c r="D19" s="249"/>
      <c r="E19" s="95" t="s">
        <v>36</v>
      </c>
      <c r="F19" s="46" t="s">
        <v>156</v>
      </c>
      <c r="G19" s="47">
        <v>2.15</v>
      </c>
      <c r="H19" s="81">
        <f t="shared" si="0"/>
        <v>47627</v>
      </c>
    </row>
    <row r="20" spans="1:8" ht="52.5" customHeight="1">
      <c r="A20" s="105"/>
      <c r="B20" s="250" t="s">
        <v>15</v>
      </c>
      <c r="C20" s="250"/>
      <c r="D20" s="250"/>
      <c r="E20" s="95" t="s">
        <v>135</v>
      </c>
      <c r="F20" s="46" t="s">
        <v>156</v>
      </c>
      <c r="G20" s="47">
        <v>0.44</v>
      </c>
      <c r="H20" s="81">
        <f t="shared" si="0"/>
        <v>9747</v>
      </c>
    </row>
    <row r="21" spans="1:8" ht="30.75" customHeight="1">
      <c r="A21" s="105"/>
      <c r="B21" s="249" t="s">
        <v>37</v>
      </c>
      <c r="C21" s="252"/>
      <c r="D21" s="252"/>
      <c r="E21" s="95" t="s">
        <v>36</v>
      </c>
      <c r="F21" s="46" t="s">
        <v>156</v>
      </c>
      <c r="G21" s="47">
        <f>3.46-G22-G23</f>
        <v>3.17</v>
      </c>
      <c r="H21" s="81">
        <f t="shared" si="0"/>
        <v>70222</v>
      </c>
    </row>
    <row r="22" spans="1:8" ht="16.5" customHeight="1">
      <c r="A22" s="105"/>
      <c r="B22" s="249" t="s">
        <v>199</v>
      </c>
      <c r="C22" s="249"/>
      <c r="D22" s="249"/>
      <c r="E22" s="96" t="s">
        <v>9</v>
      </c>
      <c r="F22" s="46" t="s">
        <v>156</v>
      </c>
      <c r="G22" s="47">
        <v>0.29</v>
      </c>
      <c r="H22" s="135">
        <f t="shared" si="0"/>
        <v>6424</v>
      </c>
    </row>
    <row r="23" spans="1:8" ht="22.5" customHeight="1">
      <c r="A23" s="105"/>
      <c r="B23" s="249" t="s">
        <v>158</v>
      </c>
      <c r="C23" s="249"/>
      <c r="D23" s="249"/>
      <c r="E23" s="96" t="s">
        <v>9</v>
      </c>
      <c r="F23" s="46" t="s">
        <v>156</v>
      </c>
      <c r="G23" s="47">
        <v>0</v>
      </c>
      <c r="H23" s="135">
        <f t="shared" si="0"/>
        <v>0</v>
      </c>
    </row>
    <row r="24" spans="1:8" ht="24" customHeight="1">
      <c r="A24" s="105"/>
      <c r="B24" s="252" t="s">
        <v>21</v>
      </c>
      <c r="C24" s="252"/>
      <c r="D24" s="252"/>
      <c r="E24" s="95" t="s">
        <v>36</v>
      </c>
      <c r="F24" s="46" t="s">
        <v>156</v>
      </c>
      <c r="G24" s="47">
        <v>1.06</v>
      </c>
      <c r="H24" s="81">
        <f t="shared" si="0"/>
        <v>23481</v>
      </c>
    </row>
    <row r="25" spans="1:8" ht="15.75">
      <c r="A25" s="22"/>
      <c r="B25" s="235" t="s">
        <v>159</v>
      </c>
      <c r="C25" s="236"/>
      <c r="D25" s="237"/>
      <c r="E25" s="96" t="s">
        <v>9</v>
      </c>
      <c r="F25" s="46"/>
      <c r="G25" s="47"/>
      <c r="H25" s="81"/>
    </row>
    <row r="26" spans="1:8" ht="12.75" customHeight="1">
      <c r="A26" s="22"/>
      <c r="B26" s="235" t="s">
        <v>160</v>
      </c>
      <c r="C26" s="236"/>
      <c r="D26" s="237"/>
      <c r="E26" s="95" t="s">
        <v>36</v>
      </c>
      <c r="F26" s="46"/>
      <c r="G26" s="47"/>
      <c r="H26" s="81"/>
    </row>
    <row r="27" spans="1:8" ht="15.75">
      <c r="A27" s="105"/>
      <c r="B27" s="238"/>
      <c r="C27" s="233"/>
      <c r="D27" s="234"/>
      <c r="E27" s="95"/>
      <c r="F27" s="46"/>
      <c r="G27" s="47"/>
      <c r="H27" s="81"/>
    </row>
    <row r="28" spans="1:8" ht="20.25" customHeight="1">
      <c r="A28" s="105"/>
      <c r="B28" s="253" t="s">
        <v>30</v>
      </c>
      <c r="C28" s="254"/>
      <c r="D28" s="255"/>
      <c r="E28" s="14"/>
      <c r="F28" s="46"/>
      <c r="G28" s="20">
        <f>SUM(G12:G27)</f>
        <v>9.520000000000001</v>
      </c>
      <c r="H28" s="81">
        <f t="shared" si="0"/>
        <v>210887</v>
      </c>
    </row>
    <row r="29" spans="1:8" ht="15.75" customHeight="1">
      <c r="A29" s="79" t="s">
        <v>137</v>
      </c>
      <c r="B29" s="239" t="s">
        <v>200</v>
      </c>
      <c r="C29" s="240"/>
      <c r="D29" s="240"/>
      <c r="E29" s="241"/>
      <c r="F29" s="51" t="s">
        <v>201</v>
      </c>
      <c r="G29" s="23">
        <v>1.06</v>
      </c>
      <c r="H29" s="81">
        <f t="shared" si="0"/>
        <v>23481</v>
      </c>
    </row>
    <row r="30" spans="1:8" ht="15.75" customHeight="1">
      <c r="A30" s="79"/>
      <c r="B30" s="256" t="s">
        <v>202</v>
      </c>
      <c r="C30" s="256"/>
      <c r="D30" s="256"/>
      <c r="E30" s="256"/>
      <c r="F30" s="256"/>
      <c r="G30" s="20">
        <f>SUM(G28:G29)</f>
        <v>10.580000000000002</v>
      </c>
      <c r="H30" s="106">
        <f t="shared" si="0"/>
        <v>234368</v>
      </c>
    </row>
    <row r="31" spans="1:8" ht="15.75" customHeight="1" thickBot="1">
      <c r="A31" s="107">
        <v>3</v>
      </c>
      <c r="B31" s="257" t="s">
        <v>203</v>
      </c>
      <c r="C31" s="258"/>
      <c r="D31" s="259"/>
      <c r="E31" s="108"/>
      <c r="F31" s="109" t="s">
        <v>201</v>
      </c>
      <c r="G31" s="84">
        <v>0.76</v>
      </c>
      <c r="H31" s="110">
        <f>ROUND($E$2*G31*12,0)</f>
        <v>16836</v>
      </c>
    </row>
    <row r="32" spans="1:8" ht="15.75" customHeight="1">
      <c r="A32" s="111"/>
      <c r="B32" s="112"/>
      <c r="C32" s="112"/>
      <c r="D32" s="112"/>
      <c r="E32" s="112"/>
      <c r="F32" s="113"/>
      <c r="G32" s="85"/>
      <c r="H32" s="114"/>
    </row>
    <row r="33" spans="1:9" ht="18.75" customHeight="1">
      <c r="A33" s="115" t="s">
        <v>204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207" t="s">
        <v>205</v>
      </c>
      <c r="B34" s="207"/>
      <c r="C34" s="207"/>
      <c r="D34" s="207"/>
      <c r="E34" s="207"/>
      <c r="F34" s="207"/>
      <c r="G34" s="207"/>
      <c r="H34" s="207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206</v>
      </c>
    </row>
    <row r="37" spans="2:4" ht="15.75" customHeight="1">
      <c r="B37" s="116"/>
      <c r="C37" s="116"/>
      <c r="D37" s="116"/>
    </row>
  </sheetData>
  <mergeCells count="27">
    <mergeCell ref="A34:H34"/>
    <mergeCell ref="B28:D28"/>
    <mergeCell ref="B29:E29"/>
    <mergeCell ref="B30:F30"/>
    <mergeCell ref="B31:D31"/>
    <mergeCell ref="B25:D25"/>
    <mergeCell ref="B26:D26"/>
    <mergeCell ref="B27:D27"/>
    <mergeCell ref="B21:D21"/>
    <mergeCell ref="B22:D22"/>
    <mergeCell ref="B23:D23"/>
    <mergeCell ref="B24:D24"/>
    <mergeCell ref="B19:D19"/>
    <mergeCell ref="B20:D20"/>
    <mergeCell ref="B12:D12"/>
    <mergeCell ref="B13:D13"/>
    <mergeCell ref="B14:D14"/>
    <mergeCell ref="B15:D15"/>
    <mergeCell ref="B16:D16"/>
    <mergeCell ref="B17:D17"/>
    <mergeCell ref="B18:D18"/>
    <mergeCell ref="B8:F8"/>
    <mergeCell ref="B9:F9"/>
    <mergeCell ref="B10:F10"/>
    <mergeCell ref="A1:H1"/>
    <mergeCell ref="B6:D6"/>
    <mergeCell ref="B7:F7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6">
      <selection activeCell="E17" sqref="E17:E18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0.12890625" style="0" hidden="1" customWidth="1"/>
    <col min="7" max="7" width="7.875" style="0" hidden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203" t="s">
        <v>215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54" customHeight="1">
      <c r="A2" s="161" t="s">
        <v>216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9" ht="18.75">
      <c r="A3" s="1" t="s">
        <v>139</v>
      </c>
      <c r="B3" s="1" t="s">
        <v>84</v>
      </c>
      <c r="C3" s="2"/>
      <c r="D3" s="2" t="s">
        <v>0</v>
      </c>
      <c r="E3" s="26">
        <v>1846</v>
      </c>
      <c r="F3" s="2"/>
      <c r="H3" s="86">
        <v>225.4</v>
      </c>
      <c r="I3" s="86"/>
    </row>
    <row r="4" spans="2:8" ht="15.75">
      <c r="B4" s="3" t="s">
        <v>1</v>
      </c>
      <c r="C4" s="44">
        <v>3</v>
      </c>
      <c r="D4" s="2" t="s">
        <v>2</v>
      </c>
      <c r="E4" s="27">
        <v>31</v>
      </c>
      <c r="F4" s="2"/>
      <c r="H4" t="s">
        <v>99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141</v>
      </c>
    </row>
    <row r="7" spans="1:10" ht="39" customHeight="1">
      <c r="A7" s="21" t="s">
        <v>55</v>
      </c>
      <c r="B7" s="222" t="s">
        <v>142</v>
      </c>
      <c r="C7" s="223"/>
      <c r="D7" s="224"/>
      <c r="E7" s="11" t="s">
        <v>6</v>
      </c>
      <c r="F7" s="11" t="s">
        <v>7</v>
      </c>
      <c r="G7" s="87" t="s">
        <v>22</v>
      </c>
      <c r="H7" s="225" t="s">
        <v>143</v>
      </c>
      <c r="I7" s="226"/>
      <c r="J7" s="227"/>
    </row>
    <row r="8" spans="1:10" ht="15.75">
      <c r="A8" s="22">
        <v>1</v>
      </c>
      <c r="B8" s="194"/>
      <c r="C8" s="195"/>
      <c r="D8" s="195"/>
      <c r="E8" s="195"/>
      <c r="F8" s="160"/>
      <c r="G8" s="88"/>
      <c r="H8" s="89" t="s">
        <v>144</v>
      </c>
      <c r="I8" s="90" t="s">
        <v>145</v>
      </c>
      <c r="J8" s="90" t="s">
        <v>146</v>
      </c>
    </row>
    <row r="9" spans="1:10" ht="15.75">
      <c r="A9" s="22"/>
      <c r="B9" s="194" t="s">
        <v>147</v>
      </c>
      <c r="C9" s="195"/>
      <c r="D9" s="195"/>
      <c r="E9" s="195"/>
      <c r="F9" s="160"/>
      <c r="G9" s="91"/>
      <c r="H9" s="91"/>
      <c r="I9" s="57"/>
      <c r="J9" s="90"/>
    </row>
    <row r="10" spans="1:10" ht="15.75" customHeight="1">
      <c r="A10" s="92"/>
      <c r="B10" s="200" t="s">
        <v>148</v>
      </c>
      <c r="C10" s="200"/>
      <c r="D10" s="200"/>
      <c r="E10" s="200"/>
      <c r="F10" s="200"/>
      <c r="G10" s="15"/>
      <c r="H10" s="117">
        <v>219432.98</v>
      </c>
      <c r="I10" s="119"/>
      <c r="J10" s="117">
        <f>H10+I10</f>
        <v>219432.98</v>
      </c>
    </row>
    <row r="11" spans="1:10" ht="15.75" customHeight="1">
      <c r="A11" s="92"/>
      <c r="B11" s="200" t="s">
        <v>149</v>
      </c>
      <c r="C11" s="200"/>
      <c r="D11" s="200"/>
      <c r="E11" s="200"/>
      <c r="F11" s="200"/>
      <c r="G11" s="15"/>
      <c r="H11" s="117">
        <v>13799.36</v>
      </c>
      <c r="I11" s="119"/>
      <c r="J11" s="117">
        <f>H11+I11</f>
        <v>13799.36</v>
      </c>
    </row>
    <row r="12" spans="1:10" ht="15.75" customHeight="1">
      <c r="A12" s="22"/>
      <c r="B12" s="200" t="s">
        <v>150</v>
      </c>
      <c r="C12" s="200"/>
      <c r="D12" s="200"/>
      <c r="E12" s="200"/>
      <c r="F12" s="200"/>
      <c r="G12" s="15"/>
      <c r="H12" s="117"/>
      <c r="I12" s="119">
        <v>9238.1</v>
      </c>
      <c r="J12" s="117">
        <f>H12+I12</f>
        <v>9238.1</v>
      </c>
    </row>
    <row r="13" spans="1:10" ht="15.75">
      <c r="A13" s="22"/>
      <c r="B13" s="200" t="s">
        <v>151</v>
      </c>
      <c r="C13" s="200"/>
      <c r="D13" s="200"/>
      <c r="E13" s="200"/>
      <c r="F13" s="200"/>
      <c r="G13" s="15"/>
      <c r="H13" s="119">
        <v>0</v>
      </c>
      <c r="I13" s="119">
        <v>0</v>
      </c>
      <c r="J13" s="117">
        <f>H13+I13</f>
        <v>0</v>
      </c>
    </row>
    <row r="14" spans="1:10" ht="15.75" customHeight="1">
      <c r="A14" s="22"/>
      <c r="B14" s="215" t="s">
        <v>152</v>
      </c>
      <c r="C14" s="215"/>
      <c r="D14" s="215"/>
      <c r="E14" s="215"/>
      <c r="F14" s="215"/>
      <c r="G14" s="15"/>
      <c r="H14" s="124">
        <f>SUM(H10:H13)</f>
        <v>233232.34000000003</v>
      </c>
      <c r="I14" s="124">
        <f>SUM(I10:I13)</f>
        <v>9238.1</v>
      </c>
      <c r="J14" s="124">
        <f>SUM(J10:J13)</f>
        <v>242470.44000000003</v>
      </c>
    </row>
    <row r="15" spans="1:10" ht="18.75" customHeight="1">
      <c r="A15" s="22">
        <v>2</v>
      </c>
      <c r="B15" s="201" t="s">
        <v>68</v>
      </c>
      <c r="C15" s="201"/>
      <c r="D15" s="201"/>
      <c r="E15" s="201"/>
      <c r="F15" s="201"/>
      <c r="G15" s="15"/>
      <c r="H15" s="125"/>
      <c r="I15" s="126"/>
      <c r="J15" s="127"/>
    </row>
    <row r="16" spans="1:10" ht="15.75">
      <c r="A16" s="22" t="s">
        <v>136</v>
      </c>
      <c r="B16" s="18" t="s">
        <v>69</v>
      </c>
      <c r="C16" s="18"/>
      <c r="D16" s="18"/>
      <c r="E16" s="18"/>
      <c r="F16" s="5"/>
      <c r="G16" s="89"/>
      <c r="H16" s="118"/>
      <c r="I16" s="128"/>
      <c r="J16" s="129"/>
    </row>
    <row r="17" spans="1:10" ht="33.75" customHeight="1">
      <c r="A17" s="94"/>
      <c r="B17" s="228" t="s">
        <v>212</v>
      </c>
      <c r="C17" s="228"/>
      <c r="D17" s="228"/>
      <c r="E17" s="95" t="s">
        <v>32</v>
      </c>
      <c r="F17" s="82" t="s">
        <v>24</v>
      </c>
      <c r="G17" s="47">
        <v>1.06</v>
      </c>
      <c r="H17" s="130">
        <f>ROUND(G17*$E$3*12,2)</f>
        <v>23481.12</v>
      </c>
      <c r="I17" s="131">
        <f>$I$12*0.08</f>
        <v>739.048</v>
      </c>
      <c r="J17" s="132">
        <f>SUM(H17:I17)</f>
        <v>24220.167999999998</v>
      </c>
    </row>
    <row r="18" spans="1:10" ht="17.25" customHeight="1">
      <c r="A18" s="22"/>
      <c r="B18" s="229" t="s">
        <v>17</v>
      </c>
      <c r="C18" s="229"/>
      <c r="D18" s="229"/>
      <c r="E18" s="95" t="s">
        <v>32</v>
      </c>
      <c r="F18" s="82" t="s">
        <v>19</v>
      </c>
      <c r="G18" s="47">
        <v>0.28</v>
      </c>
      <c r="H18" s="130">
        <f>ROUND(G18*$E$3*12,2)</f>
        <v>6202.56</v>
      </c>
      <c r="I18" s="131">
        <f>$I$12*0.02</f>
        <v>184.762</v>
      </c>
      <c r="J18" s="132">
        <f>SUM(H18:I18)</f>
        <v>6387.322</v>
      </c>
    </row>
    <row r="19" spans="1:10" ht="20.25" customHeight="1">
      <c r="A19" s="22"/>
      <c r="B19" s="230" t="s">
        <v>23</v>
      </c>
      <c r="C19" s="230"/>
      <c r="D19" s="230"/>
      <c r="E19" s="96" t="s">
        <v>153</v>
      </c>
      <c r="F19" s="46" t="s">
        <v>20</v>
      </c>
      <c r="G19" s="47">
        <v>0.39</v>
      </c>
      <c r="H19" s="130">
        <f>J19-I19</f>
        <v>7028.562999999999</v>
      </c>
      <c r="I19" s="131">
        <f>$I$12*0.07</f>
        <v>646.6670000000001</v>
      </c>
      <c r="J19" s="132">
        <v>7675.23</v>
      </c>
    </row>
    <row r="20" spans="1:10" ht="20.25" customHeight="1">
      <c r="A20" s="94"/>
      <c r="B20" s="228" t="s">
        <v>31</v>
      </c>
      <c r="C20" s="228"/>
      <c r="D20" s="228"/>
      <c r="E20" s="97" t="s">
        <v>9</v>
      </c>
      <c r="F20" s="83" t="s">
        <v>10</v>
      </c>
      <c r="G20" s="47">
        <v>0.51</v>
      </c>
      <c r="H20" s="130">
        <f>ROUND(G20*$E$3*12,2)</f>
        <v>11297.52</v>
      </c>
      <c r="I20" s="131">
        <f>$I$12*0.04</f>
        <v>369.524</v>
      </c>
      <c r="J20" s="132">
        <f>SUM(H20:I20)</f>
        <v>11667.044</v>
      </c>
    </row>
    <row r="21" spans="1:10" ht="49.5" customHeight="1">
      <c r="A21" s="22"/>
      <c r="B21" s="230" t="s">
        <v>27</v>
      </c>
      <c r="C21" s="230"/>
      <c r="D21" s="230"/>
      <c r="E21" s="96" t="s">
        <v>154</v>
      </c>
      <c r="F21" s="46" t="s">
        <v>25</v>
      </c>
      <c r="G21" s="47">
        <v>0.12</v>
      </c>
      <c r="H21" s="130">
        <f>J21-I21</f>
        <v>2902.659</v>
      </c>
      <c r="I21" s="131">
        <f>$I$12*0.01</f>
        <v>92.381</v>
      </c>
      <c r="J21" s="132">
        <v>2995.04</v>
      </c>
    </row>
    <row r="22" spans="1:10" ht="20.25" customHeight="1">
      <c r="A22" s="94"/>
      <c r="B22" s="230" t="s">
        <v>11</v>
      </c>
      <c r="C22" s="230"/>
      <c r="D22" s="230"/>
      <c r="E22" s="96" t="s">
        <v>9</v>
      </c>
      <c r="F22" s="46" t="s">
        <v>12</v>
      </c>
      <c r="G22" s="47">
        <v>0</v>
      </c>
      <c r="H22" s="130">
        <f>J22-I22</f>
        <v>0</v>
      </c>
      <c r="I22" s="131">
        <v>0</v>
      </c>
      <c r="J22" s="132">
        <f>G22*E3*12</f>
        <v>0</v>
      </c>
    </row>
    <row r="23" spans="1:10" ht="20.25" customHeight="1">
      <c r="A23" s="94"/>
      <c r="B23" s="230" t="s">
        <v>26</v>
      </c>
      <c r="C23" s="231"/>
      <c r="D23" s="231"/>
      <c r="E23" s="98" t="s">
        <v>13</v>
      </c>
      <c r="F23" s="45" t="s">
        <v>14</v>
      </c>
      <c r="G23" s="47">
        <v>0.05</v>
      </c>
      <c r="H23" s="130">
        <f>J23-I23</f>
        <v>4621.295700000001</v>
      </c>
      <c r="I23" s="131">
        <f>$I$12*0.003</f>
        <v>27.7143</v>
      </c>
      <c r="J23" s="132">
        <v>4649.01</v>
      </c>
    </row>
    <row r="24" spans="1:10" ht="28.5" customHeight="1">
      <c r="A24" s="22"/>
      <c r="B24" s="230" t="s">
        <v>155</v>
      </c>
      <c r="C24" s="230"/>
      <c r="D24" s="230"/>
      <c r="E24" s="95" t="s">
        <v>36</v>
      </c>
      <c r="F24" s="99" t="s">
        <v>156</v>
      </c>
      <c r="G24" s="47">
        <v>2.15</v>
      </c>
      <c r="H24" s="130">
        <f aca="true" t="shared" si="0" ref="H24:H29">ROUND(G24*$E$3*12,2)</f>
        <v>47626.8</v>
      </c>
      <c r="I24" s="131">
        <f>$I$12*0.19</f>
        <v>1755.239</v>
      </c>
      <c r="J24" s="132">
        <f aca="true" t="shared" si="1" ref="J24:J29">SUM(H24:I24)</f>
        <v>49382.039000000004</v>
      </c>
    </row>
    <row r="25" spans="1:10" ht="26.25" customHeight="1">
      <c r="A25" s="22"/>
      <c r="B25" s="229" t="s">
        <v>15</v>
      </c>
      <c r="C25" s="229"/>
      <c r="D25" s="229"/>
      <c r="E25" s="95" t="s">
        <v>36</v>
      </c>
      <c r="F25" s="99" t="s">
        <v>156</v>
      </c>
      <c r="G25" s="47">
        <v>0.44</v>
      </c>
      <c r="H25" s="130">
        <f t="shared" si="0"/>
        <v>9746.88</v>
      </c>
      <c r="I25" s="131">
        <v>0</v>
      </c>
      <c r="J25" s="132">
        <f t="shared" si="1"/>
        <v>9746.88</v>
      </c>
    </row>
    <row r="26" spans="1:10" ht="30" customHeight="1">
      <c r="A26" s="22"/>
      <c r="B26" s="208" t="s">
        <v>37</v>
      </c>
      <c r="C26" s="236"/>
      <c r="D26" s="237"/>
      <c r="E26" s="95" t="s">
        <v>36</v>
      </c>
      <c r="F26" s="99" t="s">
        <v>156</v>
      </c>
      <c r="G26" s="49">
        <f>3.46-G27-G28</f>
        <v>3.46</v>
      </c>
      <c r="H26" s="130">
        <f t="shared" si="0"/>
        <v>76645.92</v>
      </c>
      <c r="I26" s="131">
        <f>$I$12*(0.18+0.04)</f>
        <v>2032.382</v>
      </c>
      <c r="J26" s="132">
        <f t="shared" si="1"/>
        <v>78678.302</v>
      </c>
    </row>
    <row r="27" spans="1:10" ht="26.25" customHeight="1">
      <c r="A27" s="94"/>
      <c r="B27" s="230" t="s">
        <v>157</v>
      </c>
      <c r="C27" s="230"/>
      <c r="D27" s="230"/>
      <c r="E27" s="95" t="s">
        <v>36</v>
      </c>
      <c r="F27" s="99" t="s">
        <v>156</v>
      </c>
      <c r="G27" s="49">
        <v>0</v>
      </c>
      <c r="H27" s="130">
        <f t="shared" si="0"/>
        <v>0</v>
      </c>
      <c r="I27" s="131">
        <v>0</v>
      </c>
      <c r="J27" s="132">
        <f t="shared" si="1"/>
        <v>0</v>
      </c>
    </row>
    <row r="28" spans="1:10" ht="17.25" customHeight="1">
      <c r="A28" s="22"/>
      <c r="B28" s="230" t="s">
        <v>158</v>
      </c>
      <c r="C28" s="230"/>
      <c r="D28" s="230"/>
      <c r="E28" s="96" t="s">
        <v>9</v>
      </c>
      <c r="F28" s="99" t="s">
        <v>156</v>
      </c>
      <c r="G28" s="49">
        <v>0</v>
      </c>
      <c r="H28" s="130">
        <f t="shared" si="0"/>
        <v>0</v>
      </c>
      <c r="I28" s="131">
        <v>0</v>
      </c>
      <c r="J28" s="132">
        <f t="shared" si="1"/>
        <v>0</v>
      </c>
    </row>
    <row r="29" spans="1:10" ht="22.5" customHeight="1">
      <c r="A29" s="22"/>
      <c r="B29" s="231" t="s">
        <v>21</v>
      </c>
      <c r="C29" s="231"/>
      <c r="D29" s="231"/>
      <c r="E29" s="95" t="s">
        <v>36</v>
      </c>
      <c r="F29" s="99" t="s">
        <v>156</v>
      </c>
      <c r="G29" s="45">
        <v>1.06</v>
      </c>
      <c r="H29" s="130">
        <f t="shared" si="0"/>
        <v>23481.12</v>
      </c>
      <c r="I29" s="131">
        <f>$I$12*0.1</f>
        <v>923.8100000000001</v>
      </c>
      <c r="J29" s="132">
        <f t="shared" si="1"/>
        <v>24404.93</v>
      </c>
    </row>
    <row r="30" spans="1:10" ht="15.75">
      <c r="A30" s="22"/>
      <c r="B30" s="238"/>
      <c r="C30" s="233"/>
      <c r="D30" s="234"/>
      <c r="E30" s="96"/>
      <c r="F30" s="99"/>
      <c r="G30" s="45"/>
      <c r="H30" s="130"/>
      <c r="I30" s="131"/>
      <c r="J30" s="133"/>
    </row>
    <row r="31" spans="1:10" ht="15.75">
      <c r="A31" s="22"/>
      <c r="B31" s="238"/>
      <c r="C31" s="233"/>
      <c r="D31" s="234"/>
      <c r="E31" s="96"/>
      <c r="F31" s="99"/>
      <c r="G31" s="45"/>
      <c r="H31" s="130"/>
      <c r="I31" s="131"/>
      <c r="J31" s="133"/>
    </row>
    <row r="32" spans="1:10" ht="15.75">
      <c r="A32" s="22"/>
      <c r="B32" s="221" t="s">
        <v>30</v>
      </c>
      <c r="C32" s="221"/>
      <c r="D32" s="221"/>
      <c r="E32" s="14"/>
      <c r="F32" s="99"/>
      <c r="G32" s="20">
        <f>SUM(G17:G29)</f>
        <v>9.520000000000001</v>
      </c>
      <c r="H32" s="120">
        <f>SUM(H17:H31)</f>
        <v>213034.4377</v>
      </c>
      <c r="I32" s="121">
        <f>SUM(I17:I31)</f>
        <v>6771.527300000001</v>
      </c>
      <c r="J32" s="120">
        <f>SUM(J17:J31)</f>
        <v>219805.965</v>
      </c>
    </row>
    <row r="33" spans="1:10" ht="21.75" customHeight="1">
      <c r="A33" s="22"/>
      <c r="B33" s="235" t="s">
        <v>159</v>
      </c>
      <c r="C33" s="236"/>
      <c r="D33" s="237"/>
      <c r="E33" s="96" t="s">
        <v>9</v>
      </c>
      <c r="F33" s="99"/>
      <c r="G33" s="45"/>
      <c r="H33" s="130"/>
      <c r="I33" s="131"/>
      <c r="J33" s="133"/>
    </row>
    <row r="34" spans="1:10" ht="27.75" customHeight="1">
      <c r="A34" s="22"/>
      <c r="B34" s="235" t="s">
        <v>160</v>
      </c>
      <c r="C34" s="236"/>
      <c r="D34" s="237"/>
      <c r="E34" s="95" t="s">
        <v>36</v>
      </c>
      <c r="F34" s="99"/>
      <c r="G34" s="45"/>
      <c r="H34" s="130"/>
      <c r="I34" s="131"/>
      <c r="J34" s="133"/>
    </row>
    <row r="35" spans="1:10" ht="15.75">
      <c r="A35" s="22"/>
      <c r="B35" s="238"/>
      <c r="C35" s="233"/>
      <c r="D35" s="234"/>
      <c r="E35" s="96"/>
      <c r="F35" s="99"/>
      <c r="G35" s="45"/>
      <c r="H35" s="130"/>
      <c r="I35" s="131"/>
      <c r="J35" s="133"/>
    </row>
    <row r="36" spans="1:10" ht="15" customHeight="1">
      <c r="A36" s="22" t="s">
        <v>137</v>
      </c>
      <c r="B36" s="239" t="s">
        <v>161</v>
      </c>
      <c r="C36" s="240"/>
      <c r="D36" s="240"/>
      <c r="E36" s="241"/>
      <c r="F36" s="99" t="s">
        <v>156</v>
      </c>
      <c r="G36" s="23">
        <f>H36/E3/12</f>
        <v>1.3104008667388949</v>
      </c>
      <c r="H36" s="121">
        <v>29028</v>
      </c>
      <c r="I36" s="132">
        <v>0</v>
      </c>
      <c r="J36" s="124">
        <f>SUM(H36:I36)</f>
        <v>29028</v>
      </c>
    </row>
    <row r="37" spans="1:10" ht="14.25" customHeight="1">
      <c r="A37" s="25"/>
      <c r="B37" s="242" t="s">
        <v>70</v>
      </c>
      <c r="C37" s="242"/>
      <c r="D37" s="242"/>
      <c r="E37" s="242"/>
      <c r="F37" s="242"/>
      <c r="G37" s="20">
        <f>SUM(G32:G36)</f>
        <v>10.830400866738897</v>
      </c>
      <c r="H37" s="122">
        <f>SUM(H32:H36)</f>
        <v>242062.4377</v>
      </c>
      <c r="I37" s="123">
        <f>SUM(I32:I36)</f>
        <v>6771.527300000001</v>
      </c>
      <c r="J37" s="122">
        <f>SUM(J32:J36)</f>
        <v>248833.965</v>
      </c>
    </row>
    <row r="38" spans="1:10" ht="15.75">
      <c r="A38" s="22" t="s">
        <v>138</v>
      </c>
      <c r="B38" s="243" t="s">
        <v>162</v>
      </c>
      <c r="C38" s="243"/>
      <c r="D38" s="243"/>
      <c r="E38" s="243"/>
      <c r="F38" s="243"/>
      <c r="G38" s="23"/>
      <c r="H38" s="123">
        <v>0</v>
      </c>
      <c r="I38" s="123">
        <v>0</v>
      </c>
      <c r="J38" s="133">
        <f>SUM(H38:I38)</f>
        <v>0</v>
      </c>
    </row>
    <row r="39" spans="1:10" ht="24.75" customHeight="1">
      <c r="A39" s="25"/>
      <c r="B39" s="242" t="s">
        <v>163</v>
      </c>
      <c r="C39" s="242"/>
      <c r="D39" s="242"/>
      <c r="E39" s="242"/>
      <c r="F39" s="242"/>
      <c r="G39" s="20">
        <f>SUM(G37:G38)</f>
        <v>10.830400866738897</v>
      </c>
      <c r="H39" s="122">
        <f>SUM(H37:H38)</f>
        <v>242062.4377</v>
      </c>
      <c r="I39" s="123">
        <f>SUM(I37:I38)</f>
        <v>6771.527300000001</v>
      </c>
      <c r="J39" s="122">
        <f>SUM(J37:J38)</f>
        <v>248833.965</v>
      </c>
    </row>
    <row r="40" spans="1:10" ht="27" customHeight="1">
      <c r="A40" s="22">
        <v>3</v>
      </c>
      <c r="B40" s="208" t="s">
        <v>214</v>
      </c>
      <c r="C40" s="209"/>
      <c r="D40" s="209"/>
      <c r="E40" s="209"/>
      <c r="F40" s="209"/>
      <c r="G40" s="210"/>
      <c r="H40" s="130">
        <f>H14-H39</f>
        <v>-8830.097699999984</v>
      </c>
      <c r="I40" s="130">
        <f>I14-I39</f>
        <v>2466.5726999999997</v>
      </c>
      <c r="J40" s="121">
        <f>J14-J39</f>
        <v>-6363.524999999965</v>
      </c>
    </row>
    <row r="41" spans="2:6" ht="15.75">
      <c r="B41" s="33"/>
      <c r="F41" s="33"/>
    </row>
    <row r="42" spans="2:9" ht="18.75" customHeight="1">
      <c r="B42" s="207" t="s">
        <v>217</v>
      </c>
      <c r="C42" s="207"/>
      <c r="D42" s="207"/>
      <c r="E42" s="207"/>
      <c r="F42" s="207"/>
      <c r="G42" s="207"/>
      <c r="H42" s="207"/>
      <c r="I42" s="207"/>
    </row>
    <row r="43" spans="2:4" ht="18.75" customHeight="1">
      <c r="B43" s="33"/>
      <c r="C43" s="33"/>
      <c r="D43" s="33"/>
    </row>
    <row r="44" spans="2:4" ht="18.75" customHeight="1">
      <c r="B44" s="43" t="s">
        <v>72</v>
      </c>
      <c r="C44" s="43"/>
      <c r="D44" s="43"/>
    </row>
    <row r="45" spans="2:9" ht="18.75" customHeight="1">
      <c r="B45" s="211" t="s">
        <v>218</v>
      </c>
      <c r="C45" s="211"/>
      <c r="D45" s="211"/>
      <c r="E45" s="211"/>
      <c r="F45" s="211"/>
      <c r="G45" s="211"/>
      <c r="H45" s="211"/>
      <c r="I45" s="33"/>
    </row>
    <row r="46" spans="2:4" ht="15.75" customHeight="1">
      <c r="B46" s="202" t="s">
        <v>75</v>
      </c>
      <c r="C46" s="202"/>
      <c r="D46" s="202"/>
    </row>
  </sheetData>
  <mergeCells count="39">
    <mergeCell ref="B45:H45"/>
    <mergeCell ref="B46:D46"/>
    <mergeCell ref="B33:D33"/>
    <mergeCell ref="B34:D34"/>
    <mergeCell ref="B35:D35"/>
    <mergeCell ref="B38:F38"/>
    <mergeCell ref="B39:F39"/>
    <mergeCell ref="B40:G40"/>
    <mergeCell ref="B42:I42"/>
    <mergeCell ref="B31:D31"/>
    <mergeCell ref="B32:D32"/>
    <mergeCell ref="B36:E36"/>
    <mergeCell ref="B37:F37"/>
    <mergeCell ref="B29:D29"/>
    <mergeCell ref="B30:D30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5.8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203" t="s">
        <v>219</v>
      </c>
      <c r="B1" s="203"/>
      <c r="C1" s="203"/>
      <c r="D1" s="203"/>
      <c r="E1" s="203"/>
      <c r="F1" s="203"/>
      <c r="G1" s="203"/>
      <c r="H1" s="203"/>
    </row>
    <row r="2" spans="1:6" ht="18.75">
      <c r="A2" s="1" t="s">
        <v>139</v>
      </c>
      <c r="B2" s="1" t="s">
        <v>84</v>
      </c>
      <c r="C2" s="2"/>
      <c r="D2" s="2" t="s">
        <v>0</v>
      </c>
      <c r="E2" s="26">
        <v>1846</v>
      </c>
      <c r="F2" s="2"/>
    </row>
    <row r="3" spans="2:6" ht="15.75">
      <c r="B3" s="3" t="s">
        <v>1</v>
      </c>
      <c r="C3" s="44">
        <v>3</v>
      </c>
      <c r="D3" s="2" t="s">
        <v>2</v>
      </c>
      <c r="E3" s="27">
        <v>31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6" customHeight="1">
      <c r="A6" s="77" t="s">
        <v>55</v>
      </c>
      <c r="B6" s="245" t="s">
        <v>142</v>
      </c>
      <c r="C6" s="246"/>
      <c r="D6" s="247"/>
      <c r="E6" s="78" t="s">
        <v>6</v>
      </c>
      <c r="F6" s="78" t="s">
        <v>7</v>
      </c>
      <c r="G6" s="102" t="s">
        <v>196</v>
      </c>
      <c r="H6" s="103" t="s">
        <v>132</v>
      </c>
    </row>
    <row r="7" spans="1:8" ht="15.75" customHeight="1">
      <c r="A7" s="79">
        <v>1</v>
      </c>
      <c r="B7" s="248" t="s">
        <v>133</v>
      </c>
      <c r="C7" s="248"/>
      <c r="D7" s="248"/>
      <c r="E7" s="248"/>
      <c r="F7" s="248"/>
      <c r="G7" s="80"/>
      <c r="H7" s="104"/>
    </row>
    <row r="8" spans="1:8" ht="33.75" customHeight="1">
      <c r="A8" s="79"/>
      <c r="B8" s="215" t="s">
        <v>197</v>
      </c>
      <c r="C8" s="215"/>
      <c r="D8" s="215"/>
      <c r="E8" s="215"/>
      <c r="F8" s="215"/>
      <c r="G8" s="23">
        <f>G30</f>
        <v>10.89</v>
      </c>
      <c r="H8" s="81">
        <f>ROUND(E2*G8*12,2)</f>
        <v>241235.28</v>
      </c>
    </row>
    <row r="9" spans="1:8" ht="15.75" customHeight="1">
      <c r="A9" s="79"/>
      <c r="B9" s="244" t="s">
        <v>134</v>
      </c>
      <c r="C9" s="244"/>
      <c r="D9" s="244"/>
      <c r="E9" s="244"/>
      <c r="F9" s="244"/>
      <c r="G9" s="22">
        <v>0.78</v>
      </c>
      <c r="H9" s="104">
        <f>ROUND($E$2*G9*12,0)</f>
        <v>17279</v>
      </c>
    </row>
    <row r="10" spans="1:8" ht="18.75" customHeight="1">
      <c r="A10" s="79">
        <v>2</v>
      </c>
      <c r="B10" s="201" t="s">
        <v>68</v>
      </c>
      <c r="C10" s="201"/>
      <c r="D10" s="201"/>
      <c r="E10" s="201"/>
      <c r="F10" s="201"/>
      <c r="G10" s="45"/>
      <c r="H10" s="104"/>
    </row>
    <row r="11" spans="1:8" ht="15.75" customHeight="1">
      <c r="A11" s="79"/>
      <c r="B11" s="18" t="s">
        <v>69</v>
      </c>
      <c r="C11" s="18"/>
      <c r="D11" s="18"/>
      <c r="E11" s="18"/>
      <c r="F11" s="5"/>
      <c r="G11" s="91"/>
      <c r="H11" s="104"/>
    </row>
    <row r="12" spans="1:8" ht="32.25" customHeight="1">
      <c r="A12" s="105"/>
      <c r="B12" s="250" t="s">
        <v>212</v>
      </c>
      <c r="C12" s="250"/>
      <c r="D12" s="250"/>
      <c r="E12" s="95" t="s">
        <v>32</v>
      </c>
      <c r="F12" s="82" t="s">
        <v>24</v>
      </c>
      <c r="G12" s="47">
        <v>1.09</v>
      </c>
      <c r="H12" s="81">
        <f aca="true" t="shared" si="0" ref="H12:H30">ROUND($E$2*G12*12,0)</f>
        <v>24146</v>
      </c>
    </row>
    <row r="13" spans="1:8" ht="18.75" customHeight="1">
      <c r="A13" s="105"/>
      <c r="B13" s="250" t="s">
        <v>17</v>
      </c>
      <c r="C13" s="250"/>
      <c r="D13" s="250"/>
      <c r="E13" s="95" t="s">
        <v>32</v>
      </c>
      <c r="F13" s="82" t="s">
        <v>19</v>
      </c>
      <c r="G13" s="47">
        <v>0.29</v>
      </c>
      <c r="H13" s="81">
        <f t="shared" si="0"/>
        <v>6424</v>
      </c>
    </row>
    <row r="14" spans="1:8" ht="18.75" customHeight="1">
      <c r="A14" s="105"/>
      <c r="B14" s="249" t="s">
        <v>23</v>
      </c>
      <c r="C14" s="249"/>
      <c r="D14" s="249"/>
      <c r="E14" s="96" t="s">
        <v>153</v>
      </c>
      <c r="F14" s="46" t="s">
        <v>20</v>
      </c>
      <c r="G14" s="47">
        <v>0.4</v>
      </c>
      <c r="H14" s="81">
        <f t="shared" si="0"/>
        <v>8861</v>
      </c>
    </row>
    <row r="15" spans="1:8" ht="15.75" customHeight="1">
      <c r="A15" s="105"/>
      <c r="B15" s="251" t="s">
        <v>31</v>
      </c>
      <c r="C15" s="251"/>
      <c r="D15" s="251"/>
      <c r="E15" s="97" t="s">
        <v>9</v>
      </c>
      <c r="F15" s="83" t="s">
        <v>10</v>
      </c>
      <c r="G15" s="47">
        <v>0.53</v>
      </c>
      <c r="H15" s="81">
        <f t="shared" si="0"/>
        <v>11741</v>
      </c>
    </row>
    <row r="16" spans="1:8" ht="51.75" customHeight="1">
      <c r="A16" s="105"/>
      <c r="B16" s="249" t="s">
        <v>27</v>
      </c>
      <c r="C16" s="249"/>
      <c r="D16" s="249"/>
      <c r="E16" s="96" t="s">
        <v>154</v>
      </c>
      <c r="F16" s="46" t="s">
        <v>25</v>
      </c>
      <c r="G16" s="47">
        <v>0.12</v>
      </c>
      <c r="H16" s="81">
        <f t="shared" si="0"/>
        <v>2658</v>
      </c>
    </row>
    <row r="17" spans="1:8" ht="34.5" customHeight="1">
      <c r="A17" s="105"/>
      <c r="B17" s="249" t="s">
        <v>11</v>
      </c>
      <c r="C17" s="249"/>
      <c r="D17" s="249"/>
      <c r="E17" s="96" t="s">
        <v>9</v>
      </c>
      <c r="F17" s="46" t="s">
        <v>12</v>
      </c>
      <c r="G17" s="47">
        <v>0</v>
      </c>
      <c r="H17" s="81">
        <f t="shared" si="0"/>
        <v>0</v>
      </c>
    </row>
    <row r="18" spans="1:8" ht="30.75" customHeight="1">
      <c r="A18" s="105"/>
      <c r="B18" s="249" t="s">
        <v>26</v>
      </c>
      <c r="C18" s="252"/>
      <c r="D18" s="252"/>
      <c r="E18" s="98" t="s">
        <v>13</v>
      </c>
      <c r="F18" s="45" t="s">
        <v>198</v>
      </c>
      <c r="G18" s="47">
        <v>0.05</v>
      </c>
      <c r="H18" s="81">
        <f t="shared" si="0"/>
        <v>1108</v>
      </c>
    </row>
    <row r="19" spans="1:8" ht="30" customHeight="1">
      <c r="A19" s="105"/>
      <c r="B19" s="249" t="s">
        <v>155</v>
      </c>
      <c r="C19" s="249"/>
      <c r="D19" s="249"/>
      <c r="E19" s="95" t="s">
        <v>36</v>
      </c>
      <c r="F19" s="46" t="s">
        <v>156</v>
      </c>
      <c r="G19" s="47">
        <v>2.21</v>
      </c>
      <c r="H19" s="81">
        <f t="shared" si="0"/>
        <v>48956</v>
      </c>
    </row>
    <row r="20" spans="1:8" ht="52.5" customHeight="1">
      <c r="A20" s="105"/>
      <c r="B20" s="250" t="s">
        <v>15</v>
      </c>
      <c r="C20" s="250"/>
      <c r="D20" s="250"/>
      <c r="E20" s="95" t="s">
        <v>135</v>
      </c>
      <c r="F20" s="46" t="s">
        <v>156</v>
      </c>
      <c r="G20" s="47">
        <v>0.45</v>
      </c>
      <c r="H20" s="81">
        <f t="shared" si="0"/>
        <v>9968</v>
      </c>
    </row>
    <row r="21" spans="1:8" ht="30.75" customHeight="1">
      <c r="A21" s="105"/>
      <c r="B21" s="249" t="s">
        <v>37</v>
      </c>
      <c r="C21" s="252"/>
      <c r="D21" s="252"/>
      <c r="E21" s="95" t="s">
        <v>36</v>
      </c>
      <c r="F21" s="46" t="s">
        <v>156</v>
      </c>
      <c r="G21" s="47">
        <f>3.57-G22-G23</f>
        <v>3.27</v>
      </c>
      <c r="H21" s="81">
        <f t="shared" si="0"/>
        <v>72437</v>
      </c>
    </row>
    <row r="22" spans="1:8" ht="16.5" customHeight="1">
      <c r="A22" s="105"/>
      <c r="B22" s="249" t="s">
        <v>199</v>
      </c>
      <c r="C22" s="249"/>
      <c r="D22" s="249"/>
      <c r="E22" s="96" t="s">
        <v>9</v>
      </c>
      <c r="F22" s="46" t="s">
        <v>156</v>
      </c>
      <c r="G22" s="47">
        <v>0.3</v>
      </c>
      <c r="H22" s="135">
        <f t="shared" si="0"/>
        <v>6646</v>
      </c>
    </row>
    <row r="23" spans="1:8" ht="22.5" customHeight="1">
      <c r="A23" s="105"/>
      <c r="B23" s="249" t="s">
        <v>158</v>
      </c>
      <c r="C23" s="249"/>
      <c r="D23" s="249"/>
      <c r="E23" s="96" t="s">
        <v>9</v>
      </c>
      <c r="F23" s="46" t="s">
        <v>156</v>
      </c>
      <c r="G23" s="47">
        <v>0</v>
      </c>
      <c r="H23" s="135">
        <f t="shared" si="0"/>
        <v>0</v>
      </c>
    </row>
    <row r="24" spans="1:8" ht="24" customHeight="1">
      <c r="A24" s="105"/>
      <c r="B24" s="252" t="s">
        <v>21</v>
      </c>
      <c r="C24" s="252"/>
      <c r="D24" s="252"/>
      <c r="E24" s="95" t="s">
        <v>36</v>
      </c>
      <c r="F24" s="46" t="s">
        <v>156</v>
      </c>
      <c r="G24" s="47">
        <v>1.09</v>
      </c>
      <c r="H24" s="81">
        <f t="shared" si="0"/>
        <v>24146</v>
      </c>
    </row>
    <row r="25" spans="1:8" ht="15.75">
      <c r="A25" s="22"/>
      <c r="B25" s="235" t="s">
        <v>159</v>
      </c>
      <c r="C25" s="236"/>
      <c r="D25" s="237"/>
      <c r="E25" s="96" t="s">
        <v>9</v>
      </c>
      <c r="F25" s="46"/>
      <c r="G25" s="47"/>
      <c r="H25" s="81"/>
    </row>
    <row r="26" spans="1:8" ht="12.75" customHeight="1">
      <c r="A26" s="22"/>
      <c r="B26" s="235" t="s">
        <v>160</v>
      </c>
      <c r="C26" s="236"/>
      <c r="D26" s="237"/>
      <c r="E26" s="95" t="s">
        <v>36</v>
      </c>
      <c r="F26" s="46"/>
      <c r="G26" s="47"/>
      <c r="H26" s="81"/>
    </row>
    <row r="27" spans="1:8" ht="15.75">
      <c r="A27" s="105"/>
      <c r="B27" s="238"/>
      <c r="C27" s="233"/>
      <c r="D27" s="234"/>
      <c r="E27" s="95"/>
      <c r="F27" s="46"/>
      <c r="G27" s="47"/>
      <c r="H27" s="81"/>
    </row>
    <row r="28" spans="1:8" ht="20.25" customHeight="1">
      <c r="A28" s="105"/>
      <c r="B28" s="253" t="s">
        <v>30</v>
      </c>
      <c r="C28" s="254"/>
      <c r="D28" s="255"/>
      <c r="E28" s="14"/>
      <c r="F28" s="46"/>
      <c r="G28" s="20">
        <f>SUM(G12:G27)</f>
        <v>9.8</v>
      </c>
      <c r="H28" s="81">
        <f t="shared" si="0"/>
        <v>217090</v>
      </c>
    </row>
    <row r="29" spans="1:8" ht="15.75" customHeight="1">
      <c r="A29" s="79" t="s">
        <v>137</v>
      </c>
      <c r="B29" s="239" t="s">
        <v>220</v>
      </c>
      <c r="C29" s="240"/>
      <c r="D29" s="240"/>
      <c r="E29" s="241"/>
      <c r="F29" s="51" t="s">
        <v>201</v>
      </c>
      <c r="G29" s="23">
        <v>1.09</v>
      </c>
      <c r="H29" s="81">
        <v>54330</v>
      </c>
    </row>
    <row r="30" spans="1:8" ht="15.75" customHeight="1">
      <c r="A30" s="79"/>
      <c r="B30" s="256" t="s">
        <v>202</v>
      </c>
      <c r="C30" s="256"/>
      <c r="D30" s="256"/>
      <c r="E30" s="256"/>
      <c r="F30" s="256"/>
      <c r="G30" s="20">
        <f>SUM(G28:G29)</f>
        <v>10.89</v>
      </c>
      <c r="H30" s="106">
        <f t="shared" si="0"/>
        <v>241235</v>
      </c>
    </row>
    <row r="31" spans="1:8" ht="15.75" customHeight="1" thickBot="1">
      <c r="A31" s="107">
        <v>3</v>
      </c>
      <c r="B31" s="257" t="s">
        <v>221</v>
      </c>
      <c r="C31" s="258"/>
      <c r="D31" s="259"/>
      <c r="E31" s="108"/>
      <c r="F31" s="109" t="s">
        <v>201</v>
      </c>
      <c r="G31" s="84">
        <v>0.78</v>
      </c>
      <c r="H31" s="110">
        <f>ROUND($E$2*G31*12,0)</f>
        <v>17279</v>
      </c>
    </row>
    <row r="32" spans="1:8" ht="47.25" customHeight="1">
      <c r="A32" s="111"/>
      <c r="B32" s="260" t="s">
        <v>223</v>
      </c>
      <c r="C32" s="260"/>
      <c r="D32" s="260"/>
      <c r="E32" s="260"/>
      <c r="F32" s="113"/>
      <c r="G32" s="85"/>
      <c r="H32" s="114"/>
    </row>
    <row r="33" spans="1:9" ht="18.75" customHeight="1">
      <c r="A33" s="115" t="s">
        <v>204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207" t="s">
        <v>222</v>
      </c>
      <c r="B34" s="207"/>
      <c r="C34" s="207"/>
      <c r="D34" s="207"/>
      <c r="E34" s="207"/>
      <c r="F34" s="207"/>
      <c r="G34" s="207"/>
      <c r="H34" s="207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206</v>
      </c>
    </row>
    <row r="37" spans="2:4" ht="15.75" customHeight="1">
      <c r="B37" s="116"/>
      <c r="C37" s="116"/>
      <c r="D37" s="116"/>
    </row>
  </sheetData>
  <mergeCells count="28">
    <mergeCell ref="B30:F30"/>
    <mergeCell ref="B31:D31"/>
    <mergeCell ref="A34:H34"/>
    <mergeCell ref="B26:D26"/>
    <mergeCell ref="B27:D27"/>
    <mergeCell ref="B28:D28"/>
    <mergeCell ref="B29:E29"/>
    <mergeCell ref="B32:E32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E43" sqref="E43"/>
    </sheetView>
  </sheetViews>
  <sheetFormatPr defaultColWidth="9.00390625" defaultRowHeight="15.75"/>
  <cols>
    <col min="1" max="1" width="7.75390625" style="0" customWidth="1"/>
    <col min="2" max="2" width="26.75390625" style="0" customWidth="1"/>
    <col min="3" max="3" width="3.50390625" style="0" customWidth="1"/>
    <col min="4" max="4" width="15.25390625" style="0" customWidth="1"/>
    <col min="5" max="5" width="17.50390625" style="0" customWidth="1"/>
    <col min="6" max="6" width="9.25390625" style="0" hidden="1" customWidth="1"/>
    <col min="7" max="7" width="14.75390625" style="0" customWidth="1"/>
    <col min="8" max="8" width="13.00390625" style="0" customWidth="1"/>
    <col min="9" max="9" width="9.875" style="0" bestFit="1" customWidth="1"/>
  </cols>
  <sheetData>
    <row r="1" spans="3:8" ht="75" customHeight="1">
      <c r="C1" s="263" t="s">
        <v>237</v>
      </c>
      <c r="D1" s="263"/>
      <c r="E1" s="263"/>
      <c r="F1" s="263"/>
      <c r="G1" s="263"/>
      <c r="H1" s="263"/>
    </row>
    <row r="4" spans="1:8" ht="20.25">
      <c r="A4" s="203" t="s">
        <v>224</v>
      </c>
      <c r="B4" s="203"/>
      <c r="C4" s="203"/>
      <c r="D4" s="203"/>
      <c r="E4" s="203"/>
      <c r="F4" s="203"/>
      <c r="G4" s="203"/>
      <c r="H4" s="203"/>
    </row>
    <row r="5" spans="1:5" ht="19.5">
      <c r="A5" s="136"/>
      <c r="B5" s="136"/>
      <c r="C5" s="136"/>
      <c r="D5" s="136"/>
      <c r="E5" s="136"/>
    </row>
    <row r="6" spans="2:7" ht="15.75" customHeight="1">
      <c r="B6" s="261" t="s">
        <v>240</v>
      </c>
      <c r="C6" s="261"/>
      <c r="D6" s="261"/>
      <c r="E6" s="261"/>
      <c r="F6" s="261"/>
      <c r="G6" s="261"/>
    </row>
    <row r="7" spans="1:5" ht="15.75">
      <c r="A7" s="137"/>
      <c r="B7" s="137"/>
      <c r="C7" s="137"/>
      <c r="D7" s="137"/>
      <c r="E7" s="137"/>
    </row>
    <row r="8" spans="1:6" ht="15.75" customHeight="1">
      <c r="A8" s="1" t="s">
        <v>139</v>
      </c>
      <c r="B8" s="1" t="s">
        <v>84</v>
      </c>
      <c r="C8" s="2"/>
      <c r="D8" s="2" t="s">
        <v>0</v>
      </c>
      <c r="E8" s="26">
        <v>1846</v>
      </c>
      <c r="F8" s="2"/>
    </row>
    <row r="9" spans="2:6" ht="15.75">
      <c r="B9" s="3" t="s">
        <v>1</v>
      </c>
      <c r="C9" s="44">
        <v>3</v>
      </c>
      <c r="D9" s="2" t="s">
        <v>2</v>
      </c>
      <c r="E9" s="27">
        <v>31</v>
      </c>
      <c r="F9" s="2"/>
    </row>
    <row r="10" spans="2:7" ht="15.75" customHeight="1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8.75" customHeight="1" thickBot="1">
      <c r="B11" s="3"/>
      <c r="C11" s="4"/>
      <c r="D11" s="2" t="s">
        <v>5</v>
      </c>
      <c r="E11" s="2" t="s">
        <v>16</v>
      </c>
      <c r="F11" s="2"/>
      <c r="G11" s="2"/>
    </row>
    <row r="12" spans="1:8" ht="98.25" customHeight="1">
      <c r="A12" s="77" t="s">
        <v>55</v>
      </c>
      <c r="B12" s="245" t="s">
        <v>142</v>
      </c>
      <c r="C12" s="246"/>
      <c r="D12" s="247"/>
      <c r="E12" s="78" t="s">
        <v>6</v>
      </c>
      <c r="F12" s="78" t="s">
        <v>7</v>
      </c>
      <c r="G12" s="145" t="s">
        <v>234</v>
      </c>
      <c r="H12" s="146" t="s">
        <v>235</v>
      </c>
    </row>
    <row r="13" spans="1:8" ht="25.5" customHeight="1">
      <c r="A13" s="138">
        <v>1</v>
      </c>
      <c r="B13" s="222">
        <v>2</v>
      </c>
      <c r="C13" s="223"/>
      <c r="D13" s="224"/>
      <c r="E13" s="139">
        <v>3</v>
      </c>
      <c r="F13" s="139"/>
      <c r="G13" s="139">
        <v>4</v>
      </c>
      <c r="H13" s="140" t="s">
        <v>236</v>
      </c>
    </row>
    <row r="14" spans="1:8" ht="15.75" customHeight="1">
      <c r="A14" s="141" t="s">
        <v>225</v>
      </c>
      <c r="B14" s="201" t="s">
        <v>68</v>
      </c>
      <c r="C14" s="201"/>
      <c r="D14" s="201"/>
      <c r="E14" s="201"/>
      <c r="F14" s="201"/>
      <c r="G14" s="45"/>
      <c r="H14" s="104"/>
    </row>
    <row r="15" spans="1:8" ht="15.75">
      <c r="A15" s="141" t="s">
        <v>226</v>
      </c>
      <c r="B15" s="18" t="s">
        <v>69</v>
      </c>
      <c r="C15" s="18"/>
      <c r="D15" s="18"/>
      <c r="E15" s="18"/>
      <c r="F15" s="5"/>
      <c r="G15" s="91"/>
      <c r="H15" s="104"/>
    </row>
    <row r="16" spans="1:8" ht="34.5" customHeight="1">
      <c r="A16" s="141"/>
      <c r="B16" s="250" t="s">
        <v>212</v>
      </c>
      <c r="C16" s="250"/>
      <c r="D16" s="250"/>
      <c r="E16" s="95" t="s">
        <v>32</v>
      </c>
      <c r="F16" s="82" t="s">
        <v>24</v>
      </c>
      <c r="G16" s="47">
        <v>1.12</v>
      </c>
      <c r="H16" s="81">
        <f>ROUND($E$8*G16*4,0)</f>
        <v>8270</v>
      </c>
    </row>
    <row r="17" spans="1:8" ht="16.5" customHeight="1">
      <c r="A17" s="141"/>
      <c r="B17" s="250" t="s">
        <v>17</v>
      </c>
      <c r="C17" s="250"/>
      <c r="D17" s="250"/>
      <c r="E17" s="95" t="s">
        <v>32</v>
      </c>
      <c r="F17" s="82" t="s">
        <v>19</v>
      </c>
      <c r="G17" s="47">
        <v>0.3</v>
      </c>
      <c r="H17" s="81">
        <f aca="true" t="shared" si="0" ref="H17:H34">ROUND($E$8*G17*4,0)</f>
        <v>2215</v>
      </c>
    </row>
    <row r="18" spans="1:8" ht="16.5" customHeight="1">
      <c r="A18" s="141"/>
      <c r="B18" s="249" t="s">
        <v>23</v>
      </c>
      <c r="C18" s="249"/>
      <c r="D18" s="249"/>
      <c r="E18" s="96" t="s">
        <v>153</v>
      </c>
      <c r="F18" s="46" t="s">
        <v>20</v>
      </c>
      <c r="G18" s="47">
        <v>0.41</v>
      </c>
      <c r="H18" s="81">
        <f t="shared" si="0"/>
        <v>3027</v>
      </c>
    </row>
    <row r="19" spans="1:8" ht="19.5" customHeight="1">
      <c r="A19" s="141"/>
      <c r="B19" s="251" t="s">
        <v>31</v>
      </c>
      <c r="C19" s="251"/>
      <c r="D19" s="251"/>
      <c r="E19" s="97" t="s">
        <v>9</v>
      </c>
      <c r="F19" s="83" t="s">
        <v>10</v>
      </c>
      <c r="G19" s="47">
        <v>0.54</v>
      </c>
      <c r="H19" s="81">
        <f t="shared" si="0"/>
        <v>3987</v>
      </c>
    </row>
    <row r="20" spans="1:8" ht="52.5" customHeight="1">
      <c r="A20" s="141"/>
      <c r="B20" s="249" t="s">
        <v>27</v>
      </c>
      <c r="C20" s="249"/>
      <c r="D20" s="249"/>
      <c r="E20" s="96" t="s">
        <v>154</v>
      </c>
      <c r="F20" s="46" t="s">
        <v>25</v>
      </c>
      <c r="G20" s="47">
        <v>0.13</v>
      </c>
      <c r="H20" s="81">
        <f t="shared" si="0"/>
        <v>960</v>
      </c>
    </row>
    <row r="21" spans="1:8" ht="16.5" customHeight="1">
      <c r="A21" s="141"/>
      <c r="B21" s="249" t="s">
        <v>11</v>
      </c>
      <c r="C21" s="249"/>
      <c r="D21" s="249"/>
      <c r="E21" s="96" t="s">
        <v>9</v>
      </c>
      <c r="F21" s="46" t="s">
        <v>12</v>
      </c>
      <c r="G21" s="149">
        <v>0</v>
      </c>
      <c r="H21" s="81">
        <f t="shared" si="0"/>
        <v>0</v>
      </c>
    </row>
    <row r="22" spans="1:8" ht="30.75" customHeight="1">
      <c r="A22" s="141"/>
      <c r="B22" s="249" t="s">
        <v>26</v>
      </c>
      <c r="C22" s="252"/>
      <c r="D22" s="252"/>
      <c r="E22" s="98" t="s">
        <v>13</v>
      </c>
      <c r="F22" s="45" t="s">
        <v>198</v>
      </c>
      <c r="G22" s="47">
        <v>0.05</v>
      </c>
      <c r="H22" s="81">
        <f t="shared" si="0"/>
        <v>369</v>
      </c>
    </row>
    <row r="23" spans="1:8" ht="56.25" customHeight="1">
      <c r="A23" s="141"/>
      <c r="B23" s="249" t="s">
        <v>155</v>
      </c>
      <c r="C23" s="249"/>
      <c r="D23" s="249"/>
      <c r="E23" s="95" t="s">
        <v>239</v>
      </c>
      <c r="F23" s="46" t="s">
        <v>156</v>
      </c>
      <c r="G23" s="47">
        <v>1.63</v>
      </c>
      <c r="H23" s="81">
        <f t="shared" si="0"/>
        <v>12036</v>
      </c>
    </row>
    <row r="24" spans="1:8" ht="53.25" customHeight="1">
      <c r="A24" s="141"/>
      <c r="B24" s="250" t="s">
        <v>15</v>
      </c>
      <c r="C24" s="250"/>
      <c r="D24" s="250"/>
      <c r="E24" s="95" t="s">
        <v>135</v>
      </c>
      <c r="F24" s="46" t="s">
        <v>156</v>
      </c>
      <c r="G24" s="47">
        <v>0.47</v>
      </c>
      <c r="H24" s="81">
        <f t="shared" si="0"/>
        <v>3470</v>
      </c>
    </row>
    <row r="25" spans="1:8" ht="32.25" customHeight="1">
      <c r="A25" s="141"/>
      <c r="B25" s="249" t="s">
        <v>37</v>
      </c>
      <c r="C25" s="252"/>
      <c r="D25" s="252"/>
      <c r="E25" s="95" t="s">
        <v>36</v>
      </c>
      <c r="F25" s="46" t="s">
        <v>156</v>
      </c>
      <c r="G25" s="47">
        <f>4.32-G26-G27</f>
        <v>4.010000000000001</v>
      </c>
      <c r="H25" s="81">
        <f t="shared" si="0"/>
        <v>29610</v>
      </c>
    </row>
    <row r="26" spans="1:8" ht="21" customHeight="1">
      <c r="A26" s="141"/>
      <c r="B26" s="249" t="s">
        <v>199</v>
      </c>
      <c r="C26" s="249"/>
      <c r="D26" s="249"/>
      <c r="E26" s="96" t="s">
        <v>9</v>
      </c>
      <c r="F26" s="46" t="s">
        <v>156</v>
      </c>
      <c r="G26" s="47">
        <v>0.31</v>
      </c>
      <c r="H26" s="81">
        <f t="shared" si="0"/>
        <v>2289</v>
      </c>
    </row>
    <row r="27" spans="1:8" ht="20.25" customHeight="1">
      <c r="A27" s="141"/>
      <c r="B27" s="249" t="s">
        <v>158</v>
      </c>
      <c r="C27" s="249"/>
      <c r="D27" s="249"/>
      <c r="E27" s="96" t="s">
        <v>9</v>
      </c>
      <c r="F27" s="46" t="s">
        <v>156</v>
      </c>
      <c r="G27" s="149">
        <v>0</v>
      </c>
      <c r="H27" s="81">
        <f t="shared" si="0"/>
        <v>0</v>
      </c>
    </row>
    <row r="28" spans="1:8" ht="32.25" customHeight="1">
      <c r="A28" s="141"/>
      <c r="B28" s="252" t="s">
        <v>21</v>
      </c>
      <c r="C28" s="252"/>
      <c r="D28" s="252"/>
      <c r="E28" s="95" t="s">
        <v>36</v>
      </c>
      <c r="F28" s="46" t="s">
        <v>156</v>
      </c>
      <c r="G28" s="47">
        <v>1.12</v>
      </c>
      <c r="H28" s="81">
        <f t="shared" si="0"/>
        <v>8270</v>
      </c>
    </row>
    <row r="29" spans="1:8" ht="15.75" customHeight="1" hidden="1">
      <c r="A29" s="142"/>
      <c r="B29" s="235" t="s">
        <v>159</v>
      </c>
      <c r="C29" s="236"/>
      <c r="D29" s="237"/>
      <c r="E29" s="96" t="s">
        <v>9</v>
      </c>
      <c r="F29" s="46"/>
      <c r="G29" s="47"/>
      <c r="H29" s="81">
        <f t="shared" si="0"/>
        <v>0</v>
      </c>
    </row>
    <row r="30" spans="1:8" ht="15.75" customHeight="1" hidden="1">
      <c r="A30" s="142"/>
      <c r="B30" s="235" t="s">
        <v>160</v>
      </c>
      <c r="C30" s="236"/>
      <c r="D30" s="237"/>
      <c r="E30" s="95" t="s">
        <v>36</v>
      </c>
      <c r="F30" s="46"/>
      <c r="G30" s="47"/>
      <c r="H30" s="81">
        <f t="shared" si="0"/>
        <v>0</v>
      </c>
    </row>
    <row r="31" spans="1:9" ht="18.75" customHeight="1">
      <c r="A31" s="141"/>
      <c r="B31" s="253" t="s">
        <v>30</v>
      </c>
      <c r="C31" s="254"/>
      <c r="D31" s="255"/>
      <c r="E31" s="14"/>
      <c r="F31" s="46"/>
      <c r="G31" s="20">
        <f>SUM(G16:G30)</f>
        <v>10.09</v>
      </c>
      <c r="H31" s="81">
        <f t="shared" si="0"/>
        <v>74505</v>
      </c>
      <c r="I31" s="115"/>
    </row>
    <row r="32" spans="1:8" ht="18" customHeight="1">
      <c r="A32" s="141" t="s">
        <v>227</v>
      </c>
      <c r="B32" s="239" t="s">
        <v>220</v>
      </c>
      <c r="C32" s="240"/>
      <c r="D32" s="240"/>
      <c r="E32" s="147" t="s">
        <v>238</v>
      </c>
      <c r="F32" s="51" t="s">
        <v>201</v>
      </c>
      <c r="G32" s="23">
        <v>1.12</v>
      </c>
      <c r="H32" s="81">
        <f t="shared" si="0"/>
        <v>8270</v>
      </c>
    </row>
    <row r="33" spans="1:8" ht="15.75" customHeight="1">
      <c r="A33" s="141" t="s">
        <v>228</v>
      </c>
      <c r="B33" s="256" t="s">
        <v>202</v>
      </c>
      <c r="C33" s="256"/>
      <c r="D33" s="256"/>
      <c r="E33" s="256"/>
      <c r="F33" s="256"/>
      <c r="G33" s="20">
        <f>SUM(G31:G32)</f>
        <v>11.21</v>
      </c>
      <c r="H33" s="81">
        <f t="shared" si="0"/>
        <v>82775</v>
      </c>
    </row>
    <row r="34" spans="1:9" ht="18.75" customHeight="1" thickBot="1">
      <c r="A34" s="143" t="s">
        <v>229</v>
      </c>
      <c r="B34" s="257" t="s">
        <v>221</v>
      </c>
      <c r="C34" s="258"/>
      <c r="D34" s="259"/>
      <c r="E34" s="148" t="s">
        <v>238</v>
      </c>
      <c r="F34" s="109" t="s">
        <v>201</v>
      </c>
      <c r="G34" s="150">
        <v>0.8</v>
      </c>
      <c r="H34" s="151">
        <f t="shared" si="0"/>
        <v>5907</v>
      </c>
      <c r="I34" s="33" t="s">
        <v>206</v>
      </c>
    </row>
    <row r="35" spans="1:9" ht="18.75" customHeight="1">
      <c r="A35" s="115" t="s">
        <v>204</v>
      </c>
      <c r="B35" s="262" t="s">
        <v>241</v>
      </c>
      <c r="C35" s="262"/>
      <c r="D35" s="262"/>
      <c r="E35" s="262"/>
      <c r="F35" s="262"/>
      <c r="G35" s="262"/>
      <c r="H35" s="115"/>
      <c r="I35" s="115"/>
    </row>
    <row r="36" spans="1:9" ht="18.75" customHeight="1">
      <c r="A36" s="115"/>
      <c r="B36" s="115"/>
      <c r="C36" s="115"/>
      <c r="D36" s="115"/>
      <c r="E36" s="115"/>
      <c r="F36" s="115"/>
      <c r="G36" s="115"/>
      <c r="H36" s="115"/>
      <c r="I36" s="115"/>
    </row>
    <row r="37" spans="2:8" ht="15.75" customHeight="1">
      <c r="B37" s="152" t="s">
        <v>230</v>
      </c>
      <c r="C37" s="152"/>
      <c r="D37" s="152"/>
      <c r="E37" s="33" t="s">
        <v>231</v>
      </c>
      <c r="F37" s="33"/>
      <c r="G37" s="33"/>
      <c r="H37" s="33"/>
    </row>
    <row r="38" ht="15.75">
      <c r="I38" s="33" t="s">
        <v>206</v>
      </c>
    </row>
    <row r="39" spans="2:5" ht="15.75" customHeight="1">
      <c r="B39" s="152" t="s">
        <v>232</v>
      </c>
      <c r="C39" s="152"/>
      <c r="D39" s="152"/>
      <c r="E39" t="s">
        <v>233</v>
      </c>
    </row>
  </sheetData>
  <mergeCells count="26">
    <mergeCell ref="B6:G6"/>
    <mergeCell ref="B32:D32"/>
    <mergeCell ref="B35:G35"/>
    <mergeCell ref="C1:H1"/>
    <mergeCell ref="A4:H4"/>
    <mergeCell ref="B33:F33"/>
    <mergeCell ref="B34:D34"/>
    <mergeCell ref="B30:D30"/>
    <mergeCell ref="B31:D31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F14"/>
    <mergeCell ref="B16:D16"/>
    <mergeCell ref="B17:D17"/>
    <mergeCell ref="B12:D12"/>
    <mergeCell ref="B13:D13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2" sqref="A2:K2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1.125" style="0" customWidth="1"/>
    <col min="12" max="13" width="0" style="0" hidden="1" customWidth="1"/>
  </cols>
  <sheetData>
    <row r="1" spans="1:11" ht="110.25" customHeight="1">
      <c r="A1" s="203" t="s">
        <v>242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71.25" customHeight="1">
      <c r="A2" s="219" t="s">
        <v>243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9" ht="31.5">
      <c r="A3" s="1" t="s">
        <v>139</v>
      </c>
      <c r="B3" s="1" t="s">
        <v>84</v>
      </c>
      <c r="C3" s="2"/>
      <c r="D3" s="154" t="s">
        <v>244</v>
      </c>
      <c r="E3" s="26">
        <v>1846</v>
      </c>
      <c r="F3" s="2"/>
      <c r="H3" s="86"/>
      <c r="I3" s="86"/>
    </row>
    <row r="4" spans="2:6" ht="15.75">
      <c r="B4" s="3" t="s">
        <v>1</v>
      </c>
      <c r="C4" s="44">
        <v>3</v>
      </c>
      <c r="D4" s="2" t="s">
        <v>2</v>
      </c>
      <c r="E4" s="27" t="s">
        <v>245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39" customHeight="1">
      <c r="A7" s="21" t="s">
        <v>55</v>
      </c>
      <c r="B7" s="222" t="s">
        <v>142</v>
      </c>
      <c r="C7" s="223"/>
      <c r="D7" s="224"/>
      <c r="E7" s="11" t="s">
        <v>6</v>
      </c>
      <c r="F7" s="11" t="s">
        <v>7</v>
      </c>
      <c r="G7" s="87" t="s">
        <v>246</v>
      </c>
      <c r="H7" s="155" t="s">
        <v>247</v>
      </c>
      <c r="I7" s="225" t="s">
        <v>248</v>
      </c>
      <c r="J7" s="226"/>
      <c r="K7" s="227"/>
      <c r="L7" s="56">
        <v>12</v>
      </c>
      <c r="M7" s="156" t="s">
        <v>249</v>
      </c>
    </row>
    <row r="8" spans="1:11" ht="15.75">
      <c r="A8" s="22">
        <v>1</v>
      </c>
      <c r="B8" s="194"/>
      <c r="C8" s="195"/>
      <c r="D8" s="195"/>
      <c r="E8" s="195"/>
      <c r="F8" s="160"/>
      <c r="G8" s="157"/>
      <c r="H8" s="157"/>
      <c r="I8" s="158" t="s">
        <v>144</v>
      </c>
      <c r="J8" s="90" t="s">
        <v>145</v>
      </c>
      <c r="K8" s="90" t="s">
        <v>146</v>
      </c>
    </row>
    <row r="9" spans="1:11" ht="15.75">
      <c r="A9" s="22"/>
      <c r="B9" s="194" t="s">
        <v>147</v>
      </c>
      <c r="C9" s="195"/>
      <c r="D9" s="195"/>
      <c r="E9" s="195"/>
      <c r="F9" s="160"/>
      <c r="G9" s="57"/>
      <c r="H9" s="57"/>
      <c r="I9" s="57"/>
      <c r="J9" s="57"/>
      <c r="K9" s="90"/>
    </row>
    <row r="10" spans="1:11" ht="15.75" customHeight="1">
      <c r="A10" s="92"/>
      <c r="B10" s="200" t="s">
        <v>148</v>
      </c>
      <c r="C10" s="200"/>
      <c r="D10" s="200"/>
      <c r="E10" s="200"/>
      <c r="F10" s="200"/>
      <c r="G10" s="15"/>
      <c r="H10" s="15"/>
      <c r="I10" s="159">
        <v>218483.18</v>
      </c>
      <c r="J10" s="80"/>
      <c r="K10" s="93">
        <f>I10+J10</f>
        <v>218483.18</v>
      </c>
    </row>
    <row r="11" spans="1:11" ht="15.75" customHeight="1">
      <c r="A11" s="92"/>
      <c r="B11" s="200" t="s">
        <v>149</v>
      </c>
      <c r="C11" s="200"/>
      <c r="D11" s="200"/>
      <c r="E11" s="200"/>
      <c r="F11" s="200"/>
      <c r="G11" s="15"/>
      <c r="H11" s="15"/>
      <c r="I11" s="16">
        <v>14002.1</v>
      </c>
      <c r="J11" s="80"/>
      <c r="K11" s="93">
        <f>I11+J11</f>
        <v>14002.1</v>
      </c>
    </row>
    <row r="12" spans="1:11" ht="15.75" customHeight="1">
      <c r="A12" s="22"/>
      <c r="B12" s="200" t="s">
        <v>150</v>
      </c>
      <c r="C12" s="200"/>
      <c r="D12" s="200"/>
      <c r="E12" s="200"/>
      <c r="F12" s="200"/>
      <c r="G12" s="15"/>
      <c r="H12" s="15"/>
      <c r="I12" s="159"/>
      <c r="J12" s="162">
        <v>8857.42</v>
      </c>
      <c r="K12" s="93">
        <f>I12+J12</f>
        <v>8857.42</v>
      </c>
    </row>
    <row r="13" spans="1:11" ht="15.75">
      <c r="A13" s="22"/>
      <c r="B13" s="200" t="s">
        <v>151</v>
      </c>
      <c r="C13" s="200"/>
      <c r="D13" s="200"/>
      <c r="E13" s="200"/>
      <c r="F13" s="200"/>
      <c r="G13" s="15"/>
      <c r="H13" s="15"/>
      <c r="I13" s="159">
        <v>0</v>
      </c>
      <c r="J13" s="162">
        <v>0</v>
      </c>
      <c r="K13" s="93">
        <f>I13+J13</f>
        <v>0</v>
      </c>
    </row>
    <row r="14" spans="1:11" ht="15.75" customHeight="1">
      <c r="A14" s="22"/>
      <c r="B14" s="215" t="s">
        <v>152</v>
      </c>
      <c r="C14" s="215"/>
      <c r="D14" s="215"/>
      <c r="E14" s="215"/>
      <c r="F14" s="215"/>
      <c r="G14" s="15"/>
      <c r="H14" s="15"/>
      <c r="I14" s="36">
        <f>SUM(I10:I12)</f>
        <v>232485.28</v>
      </c>
      <c r="J14" s="163">
        <f>SUM(J10:J12)</f>
        <v>8857.42</v>
      </c>
      <c r="K14" s="36">
        <f>SUM(K10:K13)</f>
        <v>241342.7</v>
      </c>
    </row>
    <row r="15" spans="1:11" ht="18.75" customHeight="1">
      <c r="A15" s="22">
        <v>2</v>
      </c>
      <c r="B15" s="264" t="s">
        <v>68</v>
      </c>
      <c r="C15" s="264"/>
      <c r="D15" s="264"/>
      <c r="E15" s="264"/>
      <c r="F15" s="264"/>
      <c r="G15" s="15"/>
      <c r="H15" s="15"/>
      <c r="I15" s="159"/>
      <c r="J15" s="80"/>
      <c r="K15" s="34"/>
    </row>
    <row r="16" spans="1:11" ht="15.75">
      <c r="A16" s="22" t="s">
        <v>136</v>
      </c>
      <c r="B16" s="164" t="s">
        <v>69</v>
      </c>
      <c r="C16" s="164"/>
      <c r="D16" s="164"/>
      <c r="E16" s="164"/>
      <c r="F16" s="165"/>
      <c r="G16" s="158"/>
      <c r="H16" s="158"/>
      <c r="I16" s="158"/>
      <c r="J16" s="153"/>
      <c r="K16" s="90"/>
    </row>
    <row r="17" spans="1:11" ht="33.75" customHeight="1">
      <c r="A17" s="94"/>
      <c r="B17" s="228" t="s">
        <v>250</v>
      </c>
      <c r="C17" s="228"/>
      <c r="D17" s="228"/>
      <c r="E17" s="166" t="s">
        <v>32</v>
      </c>
      <c r="F17" s="82" t="s">
        <v>24</v>
      </c>
      <c r="G17" s="47">
        <v>1.06</v>
      </c>
      <c r="H17" s="47">
        <v>1.12</v>
      </c>
      <c r="I17" s="48">
        <f>ROUND($E$3*G17*6,2)+ROUND($E$3*H17*($L$7-6),2)</f>
        <v>24145.68</v>
      </c>
      <c r="J17" s="167"/>
      <c r="K17" s="168">
        <f>SUM(I17:J17)</f>
        <v>24145.68</v>
      </c>
    </row>
    <row r="18" spans="1:11" ht="17.25" customHeight="1">
      <c r="A18" s="22"/>
      <c r="B18" s="229" t="s">
        <v>17</v>
      </c>
      <c r="C18" s="229"/>
      <c r="D18" s="229"/>
      <c r="E18" s="166" t="s">
        <v>32</v>
      </c>
      <c r="F18" s="82" t="s">
        <v>19</v>
      </c>
      <c r="G18" s="47">
        <v>0.28</v>
      </c>
      <c r="H18" s="47">
        <v>0.3</v>
      </c>
      <c r="I18" s="48">
        <f>ROUND($E$3*G18*6,2)+ROUND($E$3*H18*($L$7-6),2)</f>
        <v>6424.08</v>
      </c>
      <c r="J18" s="167"/>
      <c r="K18" s="168">
        <f>SUM(I18:J18)</f>
        <v>6424.08</v>
      </c>
    </row>
    <row r="19" spans="1:11" ht="20.25" customHeight="1">
      <c r="A19" s="22"/>
      <c r="B19" s="230" t="s">
        <v>23</v>
      </c>
      <c r="C19" s="230"/>
      <c r="D19" s="230"/>
      <c r="E19" s="147" t="s">
        <v>153</v>
      </c>
      <c r="F19" s="46" t="s">
        <v>20</v>
      </c>
      <c r="G19" s="47">
        <v>0.39</v>
      </c>
      <c r="H19" s="47">
        <v>0.41</v>
      </c>
      <c r="I19" s="48">
        <f>K19-J19</f>
        <v>5582.76</v>
      </c>
      <c r="J19" s="167"/>
      <c r="K19" s="169">
        <v>5582.76</v>
      </c>
    </row>
    <row r="20" spans="1:11" ht="20.25" customHeight="1">
      <c r="A20" s="94"/>
      <c r="B20" s="228" t="s">
        <v>31</v>
      </c>
      <c r="C20" s="228"/>
      <c r="D20" s="228"/>
      <c r="E20" s="170" t="s">
        <v>9</v>
      </c>
      <c r="F20" s="83" t="s">
        <v>10</v>
      </c>
      <c r="G20" s="47">
        <v>0.51</v>
      </c>
      <c r="H20" s="47">
        <v>0.54</v>
      </c>
      <c r="I20" s="48">
        <f>ROUND($E$3*G20*6,2)+ROUND($E$3*H20*($L$7-6),2)</f>
        <v>11629.8</v>
      </c>
      <c r="J20" s="167"/>
      <c r="K20" s="168">
        <f>SUM(I20:J20)</f>
        <v>11629.8</v>
      </c>
    </row>
    <row r="21" spans="1:11" ht="65.25" customHeight="1">
      <c r="A21" s="22"/>
      <c r="B21" s="230" t="s">
        <v>27</v>
      </c>
      <c r="C21" s="230"/>
      <c r="D21" s="230"/>
      <c r="E21" s="147" t="s">
        <v>154</v>
      </c>
      <c r="F21" s="46" t="s">
        <v>25</v>
      </c>
      <c r="G21" s="47">
        <v>0.12</v>
      </c>
      <c r="H21" s="47">
        <v>0.13</v>
      </c>
      <c r="I21" s="48">
        <f>K21-J21</f>
        <v>2863.52</v>
      </c>
      <c r="J21" s="167"/>
      <c r="K21" s="169">
        <v>2863.52</v>
      </c>
    </row>
    <row r="22" spans="1:11" ht="20.25" customHeight="1">
      <c r="A22" s="94"/>
      <c r="B22" s="230" t="s">
        <v>11</v>
      </c>
      <c r="C22" s="230"/>
      <c r="D22" s="230"/>
      <c r="E22" s="147" t="s">
        <v>9</v>
      </c>
      <c r="F22" s="46" t="s">
        <v>12</v>
      </c>
      <c r="G22" s="47">
        <v>0</v>
      </c>
      <c r="H22" s="149">
        <v>0</v>
      </c>
      <c r="I22" s="48">
        <f>ROUND($E$3*G22*6,2)+ROUND($E$3*H22*($L$7-6),2)</f>
        <v>0</v>
      </c>
      <c r="J22" s="167"/>
      <c r="K22" s="168">
        <f>SUM(I22:J22)</f>
        <v>0</v>
      </c>
    </row>
    <row r="23" spans="1:11" ht="20.25" customHeight="1">
      <c r="A23" s="94"/>
      <c r="B23" s="230" t="s">
        <v>26</v>
      </c>
      <c r="C23" s="231"/>
      <c r="D23" s="231"/>
      <c r="E23" s="171" t="s">
        <v>13</v>
      </c>
      <c r="F23" s="45" t="s">
        <v>14</v>
      </c>
      <c r="G23" s="47">
        <v>0.05</v>
      </c>
      <c r="H23" s="47">
        <v>0.05</v>
      </c>
      <c r="I23" s="48">
        <f>K23-J23</f>
        <v>1912.5</v>
      </c>
      <c r="J23" s="167"/>
      <c r="K23" s="169">
        <v>1912.5</v>
      </c>
    </row>
    <row r="24" spans="1:11" ht="54" customHeight="1">
      <c r="A24" s="22"/>
      <c r="B24" s="230" t="s">
        <v>155</v>
      </c>
      <c r="C24" s="230"/>
      <c r="D24" s="230"/>
      <c r="E24" s="95" t="s">
        <v>239</v>
      </c>
      <c r="F24" s="99" t="s">
        <v>251</v>
      </c>
      <c r="G24" s="47">
        <v>2.15</v>
      </c>
      <c r="H24" s="47">
        <v>2.28</v>
      </c>
      <c r="I24" s="48">
        <f aca="true" t="shared" si="0" ref="I24:I29">ROUND($E$3*G24*6,2)+ROUND($E$3*H24*($L$7-6),2)</f>
        <v>49066.68</v>
      </c>
      <c r="J24" s="167"/>
      <c r="K24" s="168">
        <f>SUM(I24:J24)</f>
        <v>49066.68</v>
      </c>
    </row>
    <row r="25" spans="1:11" ht="26.25" customHeight="1">
      <c r="A25" s="22"/>
      <c r="B25" s="229" t="s">
        <v>15</v>
      </c>
      <c r="C25" s="229"/>
      <c r="D25" s="229"/>
      <c r="E25" s="166" t="s">
        <v>36</v>
      </c>
      <c r="F25" s="99" t="s">
        <v>251</v>
      </c>
      <c r="G25" s="47">
        <v>0.44</v>
      </c>
      <c r="H25" s="47">
        <v>0.47</v>
      </c>
      <c r="I25" s="48">
        <f>K25-J25</f>
        <v>10079.16</v>
      </c>
      <c r="J25" s="167"/>
      <c r="K25" s="168">
        <v>10079.16</v>
      </c>
    </row>
    <row r="26" spans="1:11" ht="30" customHeight="1">
      <c r="A26" s="22"/>
      <c r="B26" s="208" t="s">
        <v>37</v>
      </c>
      <c r="C26" s="236"/>
      <c r="D26" s="237"/>
      <c r="E26" s="166" t="s">
        <v>36</v>
      </c>
      <c r="F26" s="99" t="s">
        <v>251</v>
      </c>
      <c r="G26" s="49">
        <f>3.46-G27-G28</f>
        <v>3.46</v>
      </c>
      <c r="H26" s="47">
        <f>3.67-H27-H28</f>
        <v>3.67</v>
      </c>
      <c r="I26" s="48">
        <f t="shared" si="0"/>
        <v>78971.88</v>
      </c>
      <c r="J26" s="172"/>
      <c r="K26" s="168">
        <f>SUM(I26:J26)</f>
        <v>78971.88</v>
      </c>
    </row>
    <row r="27" spans="1:11" ht="26.25" customHeight="1">
      <c r="A27" s="94"/>
      <c r="B27" s="230" t="s">
        <v>157</v>
      </c>
      <c r="C27" s="230"/>
      <c r="D27" s="230"/>
      <c r="E27" s="147" t="s">
        <v>9</v>
      </c>
      <c r="F27" s="99" t="s">
        <v>251</v>
      </c>
      <c r="G27" s="49">
        <v>0</v>
      </c>
      <c r="H27" s="47">
        <v>0</v>
      </c>
      <c r="I27" s="48">
        <f t="shared" si="0"/>
        <v>0</v>
      </c>
      <c r="J27" s="172"/>
      <c r="K27" s="168">
        <f>SUM(I27:J27)</f>
        <v>0</v>
      </c>
    </row>
    <row r="28" spans="1:11" ht="17.25" customHeight="1">
      <c r="A28" s="22"/>
      <c r="B28" s="230" t="s">
        <v>158</v>
      </c>
      <c r="C28" s="230"/>
      <c r="D28" s="230"/>
      <c r="E28" s="147" t="s">
        <v>9</v>
      </c>
      <c r="F28" s="99" t="s">
        <v>251</v>
      </c>
      <c r="G28" s="49">
        <v>0</v>
      </c>
      <c r="H28" s="149">
        <v>0</v>
      </c>
      <c r="I28" s="48">
        <f t="shared" si="0"/>
        <v>0</v>
      </c>
      <c r="J28" s="172"/>
      <c r="K28" s="168">
        <f>SUM(I28:J28)</f>
        <v>0</v>
      </c>
    </row>
    <row r="29" spans="1:11" ht="30.75" customHeight="1">
      <c r="A29" s="22"/>
      <c r="B29" s="231" t="s">
        <v>21</v>
      </c>
      <c r="C29" s="231"/>
      <c r="D29" s="231"/>
      <c r="E29" s="96" t="s">
        <v>36</v>
      </c>
      <c r="F29" s="99" t="s">
        <v>251</v>
      </c>
      <c r="G29" s="45">
        <v>1.06</v>
      </c>
      <c r="H29" s="47">
        <v>1.12</v>
      </c>
      <c r="I29" s="48">
        <f t="shared" si="0"/>
        <v>24145.68</v>
      </c>
      <c r="J29" s="167"/>
      <c r="K29" s="168">
        <f>SUM(I29:J29)</f>
        <v>24145.68</v>
      </c>
    </row>
    <row r="30" spans="1:11" ht="15.75">
      <c r="A30" s="22"/>
      <c r="B30" s="238"/>
      <c r="C30" s="233"/>
      <c r="D30" s="234"/>
      <c r="E30" s="147"/>
      <c r="F30" s="99"/>
      <c r="G30" s="45"/>
      <c r="H30" s="45"/>
      <c r="I30" s="173"/>
      <c r="J30" s="162"/>
      <c r="K30" s="174"/>
    </row>
    <row r="31" spans="1:11" ht="15.75">
      <c r="A31" s="22"/>
      <c r="B31" s="265" t="s">
        <v>30</v>
      </c>
      <c r="C31" s="265"/>
      <c r="D31" s="265"/>
      <c r="E31" s="22"/>
      <c r="F31" s="99"/>
      <c r="G31" s="23">
        <f>SUM(G17:G29)</f>
        <v>9.520000000000001</v>
      </c>
      <c r="H31" s="23">
        <f>SUM(H17:H29)</f>
        <v>10.09</v>
      </c>
      <c r="I31" s="175">
        <f>SUM(I17:I30)</f>
        <v>214821.74</v>
      </c>
      <c r="J31" s="163"/>
      <c r="K31" s="175">
        <f>SUM(K17:K30)</f>
        <v>214821.74</v>
      </c>
    </row>
    <row r="32" spans="1:11" ht="15.75" hidden="1">
      <c r="A32" s="22"/>
      <c r="B32" s="235" t="s">
        <v>159</v>
      </c>
      <c r="C32" s="236"/>
      <c r="D32" s="237"/>
      <c r="E32" s="147" t="s">
        <v>9</v>
      </c>
      <c r="F32" s="99"/>
      <c r="G32" s="45"/>
      <c r="H32" s="45"/>
      <c r="I32" s="173"/>
      <c r="J32" s="162"/>
      <c r="K32" s="174"/>
    </row>
    <row r="33" spans="1:11" ht="21.75" customHeight="1" hidden="1">
      <c r="A33" s="22"/>
      <c r="B33" s="235" t="s">
        <v>160</v>
      </c>
      <c r="C33" s="236"/>
      <c r="D33" s="237"/>
      <c r="E33" s="166" t="s">
        <v>36</v>
      </c>
      <c r="F33" s="99"/>
      <c r="G33" s="45"/>
      <c r="H33" s="45"/>
      <c r="I33" s="173"/>
      <c r="J33" s="162"/>
      <c r="K33" s="174"/>
    </row>
    <row r="34" spans="1:11" ht="27.75" customHeight="1" hidden="1">
      <c r="A34" s="22"/>
      <c r="B34" s="238"/>
      <c r="C34" s="233"/>
      <c r="D34" s="234"/>
      <c r="E34" s="147"/>
      <c r="F34" s="99"/>
      <c r="G34" s="45"/>
      <c r="H34" s="45"/>
      <c r="I34" s="173"/>
      <c r="J34" s="162"/>
      <c r="K34" s="174"/>
    </row>
    <row r="35" spans="1:11" ht="26.25" customHeight="1">
      <c r="A35" s="22" t="s">
        <v>137</v>
      </c>
      <c r="B35" s="239" t="s">
        <v>161</v>
      </c>
      <c r="C35" s="240"/>
      <c r="D35" s="240"/>
      <c r="E35" s="241"/>
      <c r="F35" s="99" t="s">
        <v>251</v>
      </c>
      <c r="G35" s="23">
        <f>I35/E3/6</f>
        <v>3.4432105453232213</v>
      </c>
      <c r="H35" s="23">
        <f>I35/E3/6</f>
        <v>3.4432105453232213</v>
      </c>
      <c r="I35" s="176">
        <v>38137</v>
      </c>
      <c r="J35" s="177"/>
      <c r="K35" s="178">
        <f>SUM(I35:J35)</f>
        <v>38137</v>
      </c>
    </row>
    <row r="36" spans="1:11" ht="15" customHeight="1">
      <c r="A36" s="25"/>
      <c r="B36" s="243" t="s">
        <v>70</v>
      </c>
      <c r="C36" s="243"/>
      <c r="D36" s="243"/>
      <c r="E36" s="243"/>
      <c r="F36" s="243"/>
      <c r="G36" s="23">
        <f>SUM(G31:G35)</f>
        <v>12.963210545323223</v>
      </c>
      <c r="H36" s="23">
        <f>SUM(H31:H35)</f>
        <v>13.533210545323222</v>
      </c>
      <c r="I36" s="179">
        <f>SUM(I31:I35)</f>
        <v>252958.74</v>
      </c>
      <c r="J36" s="180"/>
      <c r="K36" s="180">
        <f>SUM(K31:K35)</f>
        <v>252958.74</v>
      </c>
    </row>
    <row r="37" spans="1:11" ht="14.25" customHeight="1">
      <c r="A37" s="22" t="s">
        <v>138</v>
      </c>
      <c r="B37" s="243" t="s">
        <v>162</v>
      </c>
      <c r="C37" s="243"/>
      <c r="D37" s="243"/>
      <c r="E37" s="243"/>
      <c r="F37" s="243"/>
      <c r="G37" s="23"/>
      <c r="H37" s="23"/>
      <c r="I37" s="181">
        <v>0</v>
      </c>
      <c r="J37" s="181"/>
      <c r="K37" s="178">
        <f>SUM(I37:J37)</f>
        <v>0</v>
      </c>
    </row>
    <row r="38" spans="1:11" ht="18.75">
      <c r="A38" s="25"/>
      <c r="B38" s="243" t="s">
        <v>163</v>
      </c>
      <c r="C38" s="243"/>
      <c r="D38" s="243"/>
      <c r="E38" s="243"/>
      <c r="F38" s="243"/>
      <c r="G38" s="23">
        <f>SUM(G36:G37)</f>
        <v>12.963210545323223</v>
      </c>
      <c r="H38" s="23">
        <f>SUM(H36:H37)</f>
        <v>13.533210545323222</v>
      </c>
      <c r="I38" s="179">
        <f>SUM(I36:I37)</f>
        <v>252958.74</v>
      </c>
      <c r="J38" s="180"/>
      <c r="K38" s="180">
        <f>SUM(K36:K37)</f>
        <v>252958.74</v>
      </c>
    </row>
    <row r="39" spans="1:11" ht="24.75" customHeight="1">
      <c r="A39" s="22">
        <v>3</v>
      </c>
      <c r="B39" s="266" t="s">
        <v>252</v>
      </c>
      <c r="C39" s="266"/>
      <c r="D39" s="266"/>
      <c r="E39" s="266"/>
      <c r="F39" s="182"/>
      <c r="G39" s="182"/>
      <c r="H39" s="183"/>
      <c r="I39" s="48">
        <f>I14-I38</f>
        <v>-20473.459999999992</v>
      </c>
      <c r="J39" s="48"/>
      <c r="K39" s="163">
        <f>K14-K38</f>
        <v>-11616.039999999979</v>
      </c>
    </row>
    <row r="40" spans="2:11" ht="27" customHeight="1">
      <c r="B40" s="111"/>
      <c r="C40" s="184"/>
      <c r="D40" s="184"/>
      <c r="E40" s="184"/>
      <c r="F40" s="184"/>
      <c r="G40" s="184"/>
      <c r="H40" s="184"/>
      <c r="I40" s="185"/>
      <c r="J40" s="186"/>
      <c r="K40" s="187"/>
    </row>
    <row r="41" spans="3:7" ht="15.75">
      <c r="C41" s="33"/>
      <c r="G41" s="33"/>
    </row>
    <row r="42" spans="1:7" ht="15.75" customHeight="1">
      <c r="A42" s="75" t="s">
        <v>253</v>
      </c>
      <c r="D42" s="75"/>
      <c r="E42" s="75"/>
      <c r="F42" s="33"/>
      <c r="G42" s="33"/>
    </row>
    <row r="43" spans="2:4" ht="15.75">
      <c r="B43" s="33"/>
      <c r="C43" s="33"/>
      <c r="D43" s="33"/>
    </row>
    <row r="44" spans="2:4" ht="18.75" customHeight="1">
      <c r="B44" s="43" t="s">
        <v>72</v>
      </c>
      <c r="C44" s="43"/>
      <c r="D44" s="43"/>
    </row>
    <row r="45" spans="2:9" ht="18.75" customHeight="1">
      <c r="B45" s="211" t="s">
        <v>218</v>
      </c>
      <c r="C45" s="211"/>
      <c r="D45" s="211"/>
      <c r="E45" s="211"/>
      <c r="F45" s="211"/>
      <c r="G45" s="211"/>
      <c r="H45" s="211"/>
      <c r="I45" s="33"/>
    </row>
    <row r="46" spans="2:4" ht="15.75" customHeight="1">
      <c r="B46" s="202" t="s">
        <v>75</v>
      </c>
      <c r="C46" s="202"/>
      <c r="D46" s="202"/>
    </row>
  </sheetData>
  <mergeCells count="37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  <mergeCell ref="B31:D31"/>
    <mergeCell ref="B32:D32"/>
    <mergeCell ref="B45:H4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2:K2"/>
    <mergeCell ref="A1:K1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G4" sqref="G4"/>
    </sheetView>
  </sheetViews>
  <sheetFormatPr defaultColWidth="9.00390625" defaultRowHeight="15.75"/>
  <cols>
    <col min="1" max="1" width="11.625" style="0" customWidth="1"/>
    <col min="2" max="2" width="6.125" style="0" customWidth="1"/>
    <col min="3" max="3" width="11.875" style="0" customWidth="1"/>
    <col min="4" max="4" width="10.50390625" style="0" customWidth="1"/>
    <col min="5" max="5" width="11.875" style="0" customWidth="1"/>
    <col min="6" max="6" width="11.00390625" style="0" bestFit="1" customWidth="1"/>
    <col min="7" max="7" width="10.375" style="0" customWidth="1"/>
    <col min="8" max="8" width="12.50390625" style="0" customWidth="1"/>
    <col min="9" max="9" width="11.625" style="0" customWidth="1"/>
    <col min="10" max="10" width="10.00390625" style="0" customWidth="1"/>
    <col min="11" max="11" width="9.75390625" style="0" bestFit="1" customWidth="1"/>
    <col min="12" max="12" width="11.50390625" style="0" customWidth="1"/>
    <col min="13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8" max="18" width="11.375" style="0" customWidth="1"/>
    <col min="19" max="19" width="11.875" style="0" customWidth="1"/>
  </cols>
  <sheetData>
    <row r="1" spans="1:19" ht="109.5" customHeight="1">
      <c r="A1" s="267" t="s">
        <v>210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</row>
    <row r="2" spans="1:19" ht="15.75" customHeight="1">
      <c r="A2" s="248" t="s">
        <v>166</v>
      </c>
      <c r="B2" s="265" t="s">
        <v>167</v>
      </c>
      <c r="C2" s="265" t="s">
        <v>168</v>
      </c>
      <c r="D2" s="265"/>
      <c r="E2" s="265"/>
      <c r="F2" s="265"/>
      <c r="G2" s="265"/>
      <c r="H2" s="265"/>
      <c r="I2" s="265"/>
      <c r="J2" s="268" t="s">
        <v>169</v>
      </c>
      <c r="K2" s="268"/>
      <c r="L2" s="268"/>
      <c r="M2" s="269" t="s">
        <v>170</v>
      </c>
      <c r="N2" s="265" t="s">
        <v>171</v>
      </c>
      <c r="O2" s="265"/>
      <c r="P2" s="265"/>
      <c r="Q2" s="265"/>
      <c r="R2" s="265"/>
      <c r="S2" s="160" t="s">
        <v>213</v>
      </c>
    </row>
    <row r="3" spans="1:19" ht="15.75" customHeight="1">
      <c r="A3" s="265"/>
      <c r="B3" s="265"/>
      <c r="C3" s="222" t="s">
        <v>172</v>
      </c>
      <c r="D3" s="223"/>
      <c r="E3" s="224"/>
      <c r="F3" s="222" t="s">
        <v>173</v>
      </c>
      <c r="G3" s="223"/>
      <c r="H3" s="224"/>
      <c r="I3" s="248" t="s">
        <v>174</v>
      </c>
      <c r="J3" s="272" t="s">
        <v>175</v>
      </c>
      <c r="K3" s="274" t="s">
        <v>176</v>
      </c>
      <c r="L3" s="276" t="s">
        <v>177</v>
      </c>
      <c r="M3" s="270"/>
      <c r="N3" s="248" t="s">
        <v>178</v>
      </c>
      <c r="O3" s="265" t="s">
        <v>179</v>
      </c>
      <c r="P3" s="265" t="s">
        <v>180</v>
      </c>
      <c r="Q3" s="265" t="s">
        <v>181</v>
      </c>
      <c r="R3" s="265" t="s">
        <v>182</v>
      </c>
      <c r="S3" s="160"/>
    </row>
    <row r="4" spans="1:19" ht="47.25" customHeight="1">
      <c r="A4" s="265"/>
      <c r="B4" s="265"/>
      <c r="C4" s="11" t="s">
        <v>183</v>
      </c>
      <c r="D4" s="22" t="s">
        <v>181</v>
      </c>
      <c r="E4" s="22" t="s">
        <v>182</v>
      </c>
      <c r="F4" s="11" t="s">
        <v>183</v>
      </c>
      <c r="G4" s="22" t="s">
        <v>181</v>
      </c>
      <c r="H4" s="22" t="s">
        <v>182</v>
      </c>
      <c r="I4" s="248"/>
      <c r="J4" s="273"/>
      <c r="K4" s="275"/>
      <c r="L4" s="277"/>
      <c r="M4" s="271"/>
      <c r="N4" s="265"/>
      <c r="O4" s="265"/>
      <c r="P4" s="265"/>
      <c r="Q4" s="265"/>
      <c r="R4" s="265"/>
      <c r="S4" s="160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184</v>
      </c>
      <c r="F5" s="11">
        <v>6</v>
      </c>
      <c r="G5" s="22">
        <v>7</v>
      </c>
      <c r="H5" s="22" t="s">
        <v>185</v>
      </c>
      <c r="I5" s="11" t="s">
        <v>186</v>
      </c>
      <c r="J5" s="22">
        <v>10</v>
      </c>
      <c r="K5" s="22">
        <v>11</v>
      </c>
      <c r="L5" s="11">
        <v>12</v>
      </c>
      <c r="M5" s="11" t="s">
        <v>187</v>
      </c>
      <c r="N5" s="22">
        <v>14</v>
      </c>
      <c r="O5" s="11">
        <v>15</v>
      </c>
      <c r="P5" s="22">
        <v>16</v>
      </c>
      <c r="Q5" s="22">
        <v>17</v>
      </c>
      <c r="R5" s="11" t="s">
        <v>188</v>
      </c>
      <c r="S5" s="100" t="s">
        <v>189</v>
      </c>
    </row>
    <row r="6" spans="1:19" ht="15.75">
      <c r="A6" s="93"/>
      <c r="B6" s="56" t="s">
        <v>190</v>
      </c>
      <c r="C6" s="117">
        <f>'2008'!D9</f>
        <v>133770.32</v>
      </c>
      <c r="D6" s="117">
        <f>'2008'!D13</f>
        <v>8500.18</v>
      </c>
      <c r="E6" s="117">
        <f>SUM(C6:D6)</f>
        <v>142270.5</v>
      </c>
      <c r="F6" s="117">
        <f>'2008'!D10</f>
        <v>132540.32</v>
      </c>
      <c r="G6" s="117">
        <f>'2008'!D14</f>
        <v>8326.05</v>
      </c>
      <c r="H6" s="117">
        <f>SUM(F6:G6)</f>
        <v>140866.37</v>
      </c>
      <c r="I6" s="134">
        <f>E6-H6</f>
        <v>1404.1300000000047</v>
      </c>
      <c r="J6" s="117">
        <v>0</v>
      </c>
      <c r="K6" s="117">
        <v>0</v>
      </c>
      <c r="L6" s="117">
        <v>0</v>
      </c>
      <c r="M6" s="117">
        <f>H6+J6+K6+L6</f>
        <v>140866.37</v>
      </c>
      <c r="N6" s="117">
        <f>'2008'!D23</f>
        <v>14714.735200000001</v>
      </c>
      <c r="O6" s="117">
        <f>'2008'!D24</f>
        <v>93639.224</v>
      </c>
      <c r="P6" s="117">
        <f>'2008'!D25</f>
        <v>5600</v>
      </c>
      <c r="Q6" s="188">
        <v>0</v>
      </c>
      <c r="R6" s="93">
        <f>SUM(N6:Q6)</f>
        <v>113953.9592</v>
      </c>
      <c r="S6" s="93">
        <f>M6-R6</f>
        <v>26912.410799999998</v>
      </c>
    </row>
    <row r="7" spans="1:19" ht="15.75">
      <c r="A7" s="93">
        <f>S6</f>
        <v>26912.410799999998</v>
      </c>
      <c r="B7" s="56" t="s">
        <v>191</v>
      </c>
      <c r="C7" s="117">
        <f>'отчет 2009'!H10</f>
        <v>185839.63</v>
      </c>
      <c r="D7" s="117">
        <v>12102.26</v>
      </c>
      <c r="E7" s="117">
        <f>SUM(C7:D7)</f>
        <v>197941.89</v>
      </c>
      <c r="F7" s="117">
        <f>'отчет 2009'!H13</f>
        <v>186088.15</v>
      </c>
      <c r="G7" s="117">
        <v>12222.84</v>
      </c>
      <c r="H7" s="117">
        <f>SUM(F7:G7)</f>
        <v>198310.99</v>
      </c>
      <c r="I7" s="134">
        <f>E7-H7</f>
        <v>-369.0999999999767</v>
      </c>
      <c r="J7" s="117">
        <v>0</v>
      </c>
      <c r="K7" s="117">
        <v>0</v>
      </c>
      <c r="L7" s="117">
        <v>0</v>
      </c>
      <c r="M7" s="117">
        <f>H7+J7+K7+L7</f>
        <v>198310.99</v>
      </c>
      <c r="N7" s="117">
        <f>'отчет 2009'!H31</f>
        <v>19493.76</v>
      </c>
      <c r="O7" s="117">
        <f>'отчет 2009'!H32-'отчет 2009'!H31</f>
        <v>155285.52</v>
      </c>
      <c r="P7" s="117">
        <f>'отчет 2009'!H33</f>
        <v>165700</v>
      </c>
      <c r="Q7" s="188">
        <v>0</v>
      </c>
      <c r="R7" s="93">
        <f>SUM(N7:Q7)</f>
        <v>340479.28</v>
      </c>
      <c r="S7" s="93">
        <f>M7-R7</f>
        <v>-142168.29000000004</v>
      </c>
    </row>
    <row r="8" spans="1:22" ht="15.75">
      <c r="A8" s="93">
        <f>A7+S7</f>
        <v>-115255.87920000004</v>
      </c>
      <c r="B8" s="56" t="s">
        <v>192</v>
      </c>
      <c r="C8" s="117">
        <v>195982.08</v>
      </c>
      <c r="D8" s="117">
        <v>12077.16</v>
      </c>
      <c r="E8" s="117">
        <f>SUM(C8:D8)</f>
        <v>208059.24</v>
      </c>
      <c r="F8" s="117">
        <f>'отчет 2010'!H10</f>
        <v>184935.27</v>
      </c>
      <c r="G8" s="117">
        <f>'отчет 2010'!H11</f>
        <v>11440.99</v>
      </c>
      <c r="H8" s="117">
        <f>SUM(F8:G8)</f>
        <v>196376.25999999998</v>
      </c>
      <c r="I8" s="134">
        <f>E8-H8</f>
        <v>11682.98000000001</v>
      </c>
      <c r="J8" s="117">
        <f>'отчет 2010'!I12</f>
        <v>25781.92</v>
      </c>
      <c r="K8" s="117">
        <v>0</v>
      </c>
      <c r="L8" s="117">
        <v>0</v>
      </c>
      <c r="M8" s="117">
        <f>H8+J8+K8+L8</f>
        <v>222158.18</v>
      </c>
      <c r="N8" s="117">
        <f>'отчет 2010'!J29</f>
        <v>22958.032</v>
      </c>
      <c r="O8" s="117">
        <f>'отчет 2010'!J34-'отчет 2010'!J29</f>
        <v>176421.046</v>
      </c>
      <c r="P8" s="117">
        <f>'отчет 2010'!H35</f>
        <v>17840</v>
      </c>
      <c r="Q8" s="188">
        <v>0</v>
      </c>
      <c r="R8" s="93">
        <f>SUM(N8:Q8)</f>
        <v>217219.078</v>
      </c>
      <c r="S8" s="93">
        <f>M8-R8</f>
        <v>4939.101999999984</v>
      </c>
      <c r="U8" s="101"/>
      <c r="V8" s="101"/>
    </row>
    <row r="9" spans="1:19" ht="15.75">
      <c r="A9" s="93">
        <f>A8+S8</f>
        <v>-110316.77720000006</v>
      </c>
      <c r="B9" s="56" t="s">
        <v>193</v>
      </c>
      <c r="C9" s="93">
        <v>225374.84</v>
      </c>
      <c r="D9" s="93">
        <v>13907.04</v>
      </c>
      <c r="E9" s="117">
        <f>SUM(C9:D9)</f>
        <v>239281.88</v>
      </c>
      <c r="F9" s="93">
        <f>'отчет 2011'!H10</f>
        <v>219432.98</v>
      </c>
      <c r="G9" s="93">
        <f>'отчет 2011'!H11</f>
        <v>13799.36</v>
      </c>
      <c r="H9" s="117">
        <f>SUM(F9:G9)</f>
        <v>233232.34000000003</v>
      </c>
      <c r="I9" s="134">
        <f>E9-H9</f>
        <v>6049.539999999979</v>
      </c>
      <c r="J9" s="93">
        <f>'отчет 2011'!I12</f>
        <v>9238.1</v>
      </c>
      <c r="K9" s="93">
        <f>'отчет 2011'!I13</f>
        <v>0</v>
      </c>
      <c r="L9" s="93">
        <f>'отчет 2011'!H13</f>
        <v>0</v>
      </c>
      <c r="M9" s="117">
        <f>H9+J9+K9+L9</f>
        <v>242470.44000000003</v>
      </c>
      <c r="N9" s="93">
        <f>'отчет 2011'!J29</f>
        <v>24404.93</v>
      </c>
      <c r="O9" s="93">
        <f>'отчет 2011'!J32-'отчет 2011'!J29</f>
        <v>195401.035</v>
      </c>
      <c r="P9" s="93">
        <f>'отчет 2011'!H36</f>
        <v>29028</v>
      </c>
      <c r="Q9" s="188">
        <f>'отчет 2011'!H38</f>
        <v>0</v>
      </c>
      <c r="R9" s="93">
        <f>SUM(N9:Q9)</f>
        <v>248833.965</v>
      </c>
      <c r="S9" s="93">
        <f>M9-R9</f>
        <v>-6363.524999999965</v>
      </c>
    </row>
    <row r="10" spans="1:19" ht="15.75">
      <c r="A10" s="93">
        <f>A9+S9</f>
        <v>-116680.30220000002</v>
      </c>
      <c r="B10" s="56" t="s">
        <v>194</v>
      </c>
      <c r="C10" s="93">
        <v>230077.82</v>
      </c>
      <c r="D10" s="93">
        <v>14267.12</v>
      </c>
      <c r="E10" s="117">
        <f>SUM(C10:D10)</f>
        <v>244344.94</v>
      </c>
      <c r="F10" s="93">
        <f>отчет12стар!I10</f>
        <v>218483.18</v>
      </c>
      <c r="G10" s="93">
        <f>отчет12стар!I11</f>
        <v>14002.1</v>
      </c>
      <c r="H10" s="117">
        <f>SUM(F10:G10)</f>
        <v>232485.28</v>
      </c>
      <c r="I10" s="134">
        <f>E10-H10</f>
        <v>11859.660000000003</v>
      </c>
      <c r="J10" s="93">
        <f>отчет12стар!J12</f>
        <v>8857.42</v>
      </c>
      <c r="K10" s="93">
        <v>0</v>
      </c>
      <c r="L10" s="93">
        <v>0</v>
      </c>
      <c r="M10" s="117">
        <f>H10+J10+K10+L10</f>
        <v>241342.7</v>
      </c>
      <c r="N10" s="93">
        <f>отчет12стар!K29</f>
        <v>24145.68</v>
      </c>
      <c r="O10" s="93">
        <f>отчет12стар!K31-отчет12стар!K29</f>
        <v>190676.06</v>
      </c>
      <c r="P10" s="93">
        <f>отчет12стар!I35</f>
        <v>38137</v>
      </c>
      <c r="Q10" s="189">
        <f>отчет12стар!I37</f>
        <v>0</v>
      </c>
      <c r="R10" s="93">
        <f>SUM(N10:Q10)</f>
        <v>252958.74</v>
      </c>
      <c r="S10" s="93">
        <f>M10-R10</f>
        <v>-11616.039999999979</v>
      </c>
    </row>
    <row r="11" spans="1:19" ht="15.75">
      <c r="A11" s="34"/>
      <c r="B11" s="56" t="s">
        <v>195</v>
      </c>
      <c r="C11" s="30">
        <f aca="true" t="shared" si="0" ref="C11:S11">SUM(C6:C10)</f>
        <v>971044.69</v>
      </c>
      <c r="D11" s="30">
        <f t="shared" si="0"/>
        <v>60853.76</v>
      </c>
      <c r="E11" s="30">
        <f t="shared" si="0"/>
        <v>1031898.45</v>
      </c>
      <c r="F11" s="30">
        <f t="shared" si="0"/>
        <v>941479.8999999999</v>
      </c>
      <c r="G11" s="30">
        <f t="shared" si="0"/>
        <v>59791.34</v>
      </c>
      <c r="H11" s="30">
        <f t="shared" si="0"/>
        <v>1001271.24</v>
      </c>
      <c r="I11" s="30">
        <f t="shared" si="0"/>
        <v>30627.21000000002</v>
      </c>
      <c r="J11" s="30">
        <f t="shared" si="0"/>
        <v>43877.439999999995</v>
      </c>
      <c r="K11" s="30">
        <f t="shared" si="0"/>
        <v>0</v>
      </c>
      <c r="L11" s="30">
        <f t="shared" si="0"/>
        <v>0</v>
      </c>
      <c r="M11" s="30">
        <f t="shared" si="0"/>
        <v>1045148.6800000002</v>
      </c>
      <c r="N11" s="30">
        <f t="shared" si="0"/>
        <v>105717.1372</v>
      </c>
      <c r="O11" s="30">
        <f t="shared" si="0"/>
        <v>811422.885</v>
      </c>
      <c r="P11" s="30">
        <f t="shared" si="0"/>
        <v>256305</v>
      </c>
      <c r="Q11" s="30">
        <f t="shared" si="0"/>
        <v>0</v>
      </c>
      <c r="R11" s="30">
        <f t="shared" si="0"/>
        <v>1173445.0222</v>
      </c>
      <c r="S11" s="30">
        <f t="shared" si="0"/>
        <v>-128296.3422</v>
      </c>
    </row>
    <row r="13" spans="1:22" ht="18.75" customHeight="1">
      <c r="A13" s="278" t="s">
        <v>254</v>
      </c>
      <c r="B13" s="278"/>
      <c r="C13" s="278"/>
      <c r="D13" s="278"/>
      <c r="E13" s="278" t="s">
        <v>255</v>
      </c>
      <c r="F13" s="278"/>
      <c r="G13" s="278"/>
      <c r="H13" s="278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</row>
    <row r="14" spans="1:22" ht="18.75">
      <c r="A14" s="191"/>
      <c r="B14" s="191"/>
      <c r="C14" s="191"/>
      <c r="D14" s="191"/>
      <c r="E14" s="191"/>
      <c r="F14" s="191"/>
      <c r="G14" s="191"/>
      <c r="H14" s="191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</row>
    <row r="15" spans="1:22" ht="18.75">
      <c r="A15" s="190"/>
      <c r="B15" s="192"/>
      <c r="C15" s="192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</row>
    <row r="16" spans="1:22" ht="18.75">
      <c r="A16" s="191" t="s">
        <v>256</v>
      </c>
      <c r="B16" s="191"/>
      <c r="C16" s="191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</row>
    <row r="17" spans="1:22" ht="18.75">
      <c r="A17" s="191" t="s">
        <v>257</v>
      </c>
      <c r="B17" s="191"/>
      <c r="C17" s="191"/>
      <c r="D17" s="191"/>
      <c r="E17" s="191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</row>
    <row r="18" spans="1:22" ht="18.75" customHeight="1">
      <c r="A18" s="279" t="s">
        <v>258</v>
      </c>
      <c r="B18" s="279"/>
      <c r="C18" s="279"/>
      <c r="D18" s="279"/>
      <c r="E18" s="278" t="s">
        <v>259</v>
      </c>
      <c r="F18" s="278"/>
      <c r="G18" s="278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</row>
    <row r="19" spans="1:22" ht="15.75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</row>
    <row r="20" spans="1:22" ht="15.75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</row>
    <row r="21" spans="1:22" ht="15.75">
      <c r="A21" s="19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</row>
    <row r="22" spans="1:22" ht="15.75">
      <c r="A22" s="190" t="s">
        <v>260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</row>
  </sheetData>
  <mergeCells count="23">
    <mergeCell ref="A13:D13"/>
    <mergeCell ref="E13:H13"/>
    <mergeCell ref="A18:D18"/>
    <mergeCell ref="E18:G18"/>
    <mergeCell ref="R3:R4"/>
    <mergeCell ref="N3:N4"/>
    <mergeCell ref="O3:O4"/>
    <mergeCell ref="P3:P4"/>
    <mergeCell ref="Q3:Q4"/>
    <mergeCell ref="I3:I4"/>
    <mergeCell ref="J3:J4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2013-03-18T10:49:53Z</cp:lastPrinted>
  <dcterms:created xsi:type="dcterms:W3CDTF">2009-08-26T03:25:10Z</dcterms:created>
  <dcterms:modified xsi:type="dcterms:W3CDTF">2013-03-28T10:14:30Z</dcterms:modified>
  <cp:category/>
  <cp:version/>
  <cp:contentType/>
  <cp:contentStatus/>
</cp:coreProperties>
</file>