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07.2012" sheetId="7" state="hidden" r:id="rId7"/>
    <sheet name="отчет12стар" sheetId="8" r:id="rId8"/>
    <sheet name="накопит" sheetId="9" state="hidden" r:id="rId9"/>
  </sheets>
  <definedNames>
    <definedName name="_xlnm.Print_Area" localSheetId="5">'смета 2012'!$A$1:$I$34</definedName>
  </definedNames>
  <calcPr fullCalcOnLoad="1"/>
</workbook>
</file>

<file path=xl/sharedStrings.xml><?xml version="1.0" encoding="utf-8"?>
<sst xmlns="http://schemas.openxmlformats.org/spreadsheetml/2006/main" count="719" uniqueCount="258">
  <si>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</si>
  <si>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</si>
  <si>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</si>
  <si>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</si>
  <si>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</si>
  <si>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</si>
  <si>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</si>
  <si>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</si>
  <si>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</si>
  <si>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</si>
  <si>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</si>
  <si>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</si>
  <si>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</si>
  <si>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</si>
  <si>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</si>
  <si>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</si>
  <si>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</si>
  <si>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</si>
  <si>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</si>
  <si>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</si>
  <si>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</si>
  <si>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</si>
  <si>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</si>
  <si>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</si>
  <si>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</si>
  <si>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</si>
  <si>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</si>
  <si>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</si>
  <si>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</si>
  <si>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</si>
  <si>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</si>
  <si>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</si>
  <si>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</si>
  <si>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</si>
  <si>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</si>
  <si>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</si>
  <si>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</si>
  <si>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</si>
  <si>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</si>
  <si>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</si>
  <si>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</si>
  <si>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</si>
  <si>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</si>
  <si>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</si>
  <si>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</si>
  <si>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</si>
  <si>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</si>
  <si>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</si>
  <si>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</si>
  <si>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</si>
  <si>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</si>
  <si>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</si>
  <si>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</si>
  <si>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</si>
  <si>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</si>
  <si>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</si>
  <si>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</si>
  <si>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</si>
  <si>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</si>
  <si>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</si>
  <si>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</si>
  <si>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</si>
  <si>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</si>
  <si>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</si>
  <si>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</si>
  <si>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</si>
  <si>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</si>
  <si>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</si>
  <si>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</si>
  <si>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</si>
  <si>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</si>
  <si>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</si>
  <si>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</si>
  <si>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 xml:space="preserve">Адрес: </t>
  </si>
  <si>
    <t>ООО "ОЖКС № 1"</t>
  </si>
  <si>
    <t>Претензий по управлению нет (да)</t>
  </si>
  <si>
    <t>Противопожарные мероприятия:  содержание и обслуживание вентканалов и шахт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</si>
  <si>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</si>
  <si>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</si>
  <si>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</si>
  <si>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</si>
  <si>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</si>
  <si>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</si>
  <si>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есть</t>
  </si>
  <si>
    <t>ул. Медногорская, 22</t>
  </si>
  <si>
    <t xml:space="preserve">       Товарищество собственников жилья "Металлистов" в лице председателя Ильченко Ф.Н.,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</si>
  <si>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Председатель ТСЖ                                                                                                                             Ф.Н. Ильченко                                   </t>
  </si>
  <si>
    <t>ОТЧЕТ
за  2009 г. о выполненнии условий  договора управления МКД 
№ 595/1 от 28.03.08 г.,  заключенного между ООО "ОЖКС № 1" 
и ТСЖ "Металлистов"
по адресу:  ул. Медногорская, 22</t>
  </si>
  <si>
    <t>ОТЧЕТ
о выполненных работах в 2008 году по договору управления МКД 
№ 301 от 28.03.08 г., заключенного между ООО "ОЖКС № 1" 
и ТСЖ "Металлистов"
по адресу: ул. Медногорская, 22</t>
  </si>
  <si>
    <t xml:space="preserve">        Товарищество собственников жилья "Металлистов" в лице председателя Ильченко Ф.В.,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</si>
  <si>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</si>
  <si>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</si>
  <si>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</si>
  <si>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</si>
  <si>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</si>
  <si>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</si>
  <si>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</si>
  <si>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</si>
  <si>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</si>
  <si>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</si>
  <si>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</si>
  <si>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</si>
  <si>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</si>
  <si>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</si>
  <si>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</si>
  <si>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</si>
  <si>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</si>
  <si>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</si>
  <si>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</si>
  <si>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</si>
  <si>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</si>
  <si>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</si>
  <si>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</si>
  <si>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</si>
  <si>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</si>
  <si>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</si>
  <si>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</si>
  <si>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</si>
  <si>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</si>
  <si>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</si>
  <si>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</si>
  <si>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</si>
  <si>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</si>
  <si>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</si>
  <si>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</si>
  <si>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</si>
  <si>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</si>
  <si>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</si>
  <si>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</si>
  <si>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</si>
  <si>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</si>
  <si>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                               И.А. Ломов                                       </t>
  </si>
  <si>
    <t xml:space="preserve">Председатель ТСЖ                                                                                     Ф.В. Ильченко    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</si>
  <si>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</si>
  <si>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</si>
  <si>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</si>
  <si>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</si>
  <si>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</si>
  <si>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</si>
  <si>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</si>
  <si>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</si>
  <si>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</si>
  <si>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</si>
  <si>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</si>
  <si>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</si>
  <si>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</si>
  <si>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</si>
  <si>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</si>
  <si>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</si>
  <si>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</si>
  <si>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</si>
  <si>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</si>
  <si>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</si>
  <si>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</si>
  <si>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</si>
  <si>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</si>
  <si>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</si>
  <si>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</si>
  <si>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</si>
  <si>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</si>
  <si>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</si>
  <si>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</si>
  <si>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</si>
  <si>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</si>
  <si>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</si>
  <si>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</si>
  <si>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</si>
  <si>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</si>
  <si>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</si>
  <si>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</si>
  <si>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</si>
  <si>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</si>
  <si>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</si>
  <si>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</si>
  <si>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</si>
  <si>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</si>
  <si>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</si>
  <si>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</si>
  <si>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</si>
  <si>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</si>
  <si>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</si>
  <si>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</si>
  <si>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</si>
  <si>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</si>
  <si>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</si>
  <si>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</si>
  <si>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</si>
  <si>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</si>
  <si>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</si>
  <si>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</si>
  <si>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</si>
  <si>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</si>
  <si>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</si>
  <si>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</si>
  <si>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</si>
  <si>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</si>
  <si>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</si>
  <si>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</si>
  <si>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</si>
  <si>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</si>
  <si>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</si>
  <si>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</si>
  <si>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</si>
  <si>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</si>
  <si>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</si>
  <si>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</si>
  <si>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</si>
  <si>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</si>
  <si>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</si>
  <si>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595/1 от 28.03.08 г.,  заключенного между ООО "ОЖКС № 1" 
и ТСЖ "Металлистов"
по адресу:  ул. Медногорская, 22</t>
  </si>
  <si>
    <t xml:space="preserve">                 Товарищество собственников жилья "Металлистов" в лице председателя Ильченко Ф.Н., действующего на основании Устава,с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</si>
  <si>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Председатель ТСЖ                                                                                            Ф.Н. Ильченко                                   </t>
  </si>
  <si>
    <t>Смета
расходов и доходов  на  2011 г.
по договору управления МКД 
№ 595/1 от 28.03.08 г.,  заключенного между ООО "ОЖКС № 1" 
и ТСЖ "Металлистов"
по адресу:  ул. Медногорская, 22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</si>
  <si>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</si>
  <si>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</si>
  <si>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</si>
  <si>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Председатель ТСЖ                                                                           _________________________</t>
  </si>
  <si>
    <t>ОТЧЕТ
за  2011 г. о выполненнии условий  договора управления МКД 
№ 595/1 от 24.10.08 г.,  заключенного между ООО "ОЖКС № 1" 
и ТСЖ "Металлистов"
по адресу:  ул. Медногорская, 22</t>
  </si>
  <si>
    <t xml:space="preserve">                 Товарищество собственников жилья "Металлистов" в лице председателя ________________________________, действующего на основании Устава,с одной стороны и Общество с Ограниченной Ответственностью "Октябрьский Жилкомсервис № 1" в лице директора ________________________________,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</si>
  <si>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       ______________________</t>
  </si>
  <si>
    <t>ОТЧЕТ
по  договору управления МКД 
№ 595/1 от 24.10.08 г.,  заключенного между ООО "ОЖКС № 1" 
и ТСЖ "Металлистов"
по адресу:  ул. Медногорская, 22</t>
  </si>
  <si>
    <t>Смета
расходов и доходов  на  2012 г.
по договору управления МКД 
№ 595/1 от 24.10.08 г.,   заключенного между ООО "ОЖКС № 1" 
и ТСЖ "Металлистов"
по адресу:  ул. Медногорская, 22</t>
  </si>
  <si>
    <t xml:space="preserve"> Текущий ремонт общего имущества  </t>
  </si>
  <si>
    <t xml:space="preserve">Капитальный ремонт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</si>
  <si>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</si>
  <si>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Директор ООО "ОЖКС № 1"                                                         А.В. Яроцкова                           </t>
  </si>
  <si>
    <t xml:space="preserve">         Приложение №7 
к Договору на оказание услуг 
и  выполнение работ по содержанию, текущему 
и капитальному ремонту общего имущества МКД 
№ ___ от "____"___________2012г.</t>
  </si>
  <si>
    <t>Расчет стоимости договора и тарифа 1 м2 на 2012г.</t>
  </si>
  <si>
    <t>Тариф с 1 июля 2012 г. - 11,21 руб., капитальный ремонт - 0,80 руб.</t>
  </si>
  <si>
    <t>5=гр.4*Sдома*6мес.</t>
  </si>
  <si>
    <t>1</t>
  </si>
  <si>
    <t>1.1</t>
  </si>
  <si>
    <t>1.2</t>
  </si>
  <si>
    <t>1.3</t>
  </si>
  <si>
    <t>2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</si>
  <si>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</si>
  <si>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</si>
  <si>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</si>
  <si>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</si>
  <si>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ОТЧЕТ
за  2012 г. о выполненнии условий  договора управления МКД 
№ 595/1 от 24.10.08 г.,  заключенного между ООО "ОЖКС № 1" 
и ТСЖ "Металлистов"
по адресу:  ул. Медногорская, 22</t>
  </si>
  <si>
    <t xml:space="preserve">                 Товарищество собственников жилья "Металлистов" в лице председателя ________________________________, действующего на основании Устава,с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</si>
  <si>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</si>
  <si>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</si>
  <si>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</si>
  <si>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</si>
  <si>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</si>
  <si>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</si>
  <si>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</si>
  <si>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</si>
  <si>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</si>
  <si>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</si>
  <si>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</si>
  <si>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</si>
  <si>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</si>
  <si>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</si>
  <si>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 xml:space="preserve">Председатель ТСЖ     </t>
  </si>
  <si>
    <t>_______________/________/</t>
  </si>
  <si>
    <t>Исполнитель: Стыценкова И.А.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</si>
</sst>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  <numFmt numFmtId="173" formatCode="0.0"/>
  </numFmts>
  <fonts count="2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3" fontId="2" fillId="0" borderId="18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E13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00390625" style="0" customWidth="1"/>
    <col min="5" max="5" width="12.00390625" style="0" hidden="1" customWidth="1"/>
  </cols>
  <sheetData>
    <row r="1" spans="1:4" ht="104.25" customHeight="1">
      <c r="A1" s="197" t="s">
        <v>88</v>
      </c>
      <c r="B1" s="197"/>
      <c r="C1" s="197"/>
      <c r="D1" s="197"/>
    </row>
    <row r="2" spans="1:4" ht="87.75" customHeight="1">
      <c r="A2" s="198" t="s">
        <v>89</v>
      </c>
      <c r="B2" s="199"/>
      <c r="C2" s="199"/>
      <c r="D2" s="199"/>
    </row>
    <row r="3" spans="1:5" ht="33" customHeight="1">
      <c r="A3" s="22" t="s">
        <v>90</v>
      </c>
      <c r="B3" s="22" t="s">
        <v>91</v>
      </c>
      <c r="C3" s="11" t="s">
        <v>92</v>
      </c>
      <c r="D3" s="52" t="s">
        <v>93</v>
      </c>
      <c r="E3" s="53" t="s">
        <v>94</v>
      </c>
    </row>
    <row r="4" spans="1:5" ht="18.75" customHeight="1">
      <c r="A4" s="54" t="s">
        <v>95</v>
      </c>
      <c r="B4" s="55" t="s">
        <v>96</v>
      </c>
      <c r="C4" s="11" t="s">
        <v>97</v>
      </c>
      <c r="D4" s="56">
        <v>3</v>
      </c>
      <c r="E4" s="56">
        <v>3</v>
      </c>
    </row>
    <row r="5" spans="1:5" ht="15.75">
      <c r="A5" s="57" t="s">
        <v>98</v>
      </c>
      <c r="B5" s="58" t="s">
        <v>99</v>
      </c>
      <c r="C5" s="59" t="s">
        <v>100</v>
      </c>
      <c r="D5" s="60">
        <v>1493.5</v>
      </c>
      <c r="E5" s="60">
        <v>1493.5</v>
      </c>
    </row>
    <row r="6" spans="1:5" ht="15.75">
      <c r="A6" s="57" t="s">
        <v>101</v>
      </c>
      <c r="B6" s="58" t="s">
        <v>102</v>
      </c>
      <c r="C6" s="59" t="s">
        <v>97</v>
      </c>
      <c r="D6" s="61">
        <v>36</v>
      </c>
      <c r="E6" s="61">
        <v>36</v>
      </c>
    </row>
    <row r="7" spans="1:5" ht="15.75">
      <c r="A7" s="57" t="s">
        <v>103</v>
      </c>
      <c r="B7" s="58" t="s">
        <v>104</v>
      </c>
      <c r="C7" s="51"/>
      <c r="D7" s="60"/>
      <c r="E7" s="60"/>
    </row>
    <row r="8" spans="1:5" ht="15.75">
      <c r="A8" s="62" t="s">
        <v>105</v>
      </c>
      <c r="B8" s="58" t="s">
        <v>106</v>
      </c>
      <c r="C8" s="51"/>
      <c r="D8" s="60"/>
      <c r="E8" s="60"/>
    </row>
    <row r="9" spans="1:5" ht="17.25" customHeight="1">
      <c r="A9" s="63"/>
      <c r="B9" s="34" t="s">
        <v>107</v>
      </c>
      <c r="C9" s="51" t="s">
        <v>108</v>
      </c>
      <c r="D9" s="60">
        <v>102059.17</v>
      </c>
      <c r="E9" s="60">
        <v>102059.17</v>
      </c>
    </row>
    <row r="10" spans="1:5" ht="16.5" customHeight="1">
      <c r="A10" s="63"/>
      <c r="B10" s="34" t="s">
        <v>109</v>
      </c>
      <c r="C10" s="51" t="s">
        <v>108</v>
      </c>
      <c r="D10" s="60">
        <v>95822.12</v>
      </c>
      <c r="E10" s="60">
        <v>95822.12</v>
      </c>
    </row>
    <row r="11" spans="1:5" ht="15.75">
      <c r="A11" s="63"/>
      <c r="B11" s="58" t="s">
        <v>110</v>
      </c>
      <c r="C11" s="59" t="s">
        <v>108</v>
      </c>
      <c r="D11" s="64">
        <f>D9-D10</f>
        <v>6237.050000000003</v>
      </c>
      <c r="E11" s="64">
        <f>E9-E10</f>
        <v>6237.050000000003</v>
      </c>
    </row>
    <row r="12" spans="1:5" ht="18" customHeight="1">
      <c r="A12" s="62" t="s">
        <v>111</v>
      </c>
      <c r="B12" s="58" t="s">
        <v>112</v>
      </c>
      <c r="C12" s="51"/>
      <c r="D12" s="60"/>
      <c r="E12" s="60"/>
    </row>
    <row r="13" spans="1:5" ht="15.75">
      <c r="A13" s="63"/>
      <c r="B13" s="34" t="s">
        <v>107</v>
      </c>
      <c r="C13" s="51" t="s">
        <v>108</v>
      </c>
      <c r="D13" s="60">
        <v>6879.9</v>
      </c>
      <c r="E13" s="60"/>
    </row>
    <row r="14" spans="1:5" ht="15.75" customHeight="1">
      <c r="A14" s="63"/>
      <c r="B14" s="34" t="s">
        <v>109</v>
      </c>
      <c r="C14" s="51" t="s">
        <v>108</v>
      </c>
      <c r="D14" s="60">
        <v>5713.44</v>
      </c>
      <c r="E14" s="60"/>
    </row>
    <row r="15" spans="1:5" ht="15.75" customHeight="1">
      <c r="A15" s="63"/>
      <c r="B15" s="58" t="s">
        <v>110</v>
      </c>
      <c r="C15" s="59" t="s">
        <v>108</v>
      </c>
      <c r="D15" s="64">
        <f>D13-D14</f>
        <v>1166.46</v>
      </c>
      <c r="E15" s="64">
        <f>E13-E14</f>
        <v>0</v>
      </c>
    </row>
    <row r="16" spans="1:5" ht="15" customHeight="1">
      <c r="A16" s="65" t="s">
        <v>113</v>
      </c>
      <c r="B16" s="58" t="s">
        <v>114</v>
      </c>
      <c r="C16" s="51"/>
      <c r="D16" s="66"/>
      <c r="E16" s="66"/>
    </row>
    <row r="17" spans="1:5" ht="15.75">
      <c r="A17" s="67"/>
      <c r="B17" s="34" t="s">
        <v>107</v>
      </c>
      <c r="C17" s="51" t="s">
        <v>108</v>
      </c>
      <c r="D17" s="66">
        <v>830.97</v>
      </c>
      <c r="E17" s="66">
        <v>830.97</v>
      </c>
    </row>
    <row r="18" spans="1:5" ht="15.75" customHeight="1">
      <c r="A18" s="67"/>
      <c r="B18" s="34" t="s">
        <v>109</v>
      </c>
      <c r="C18" s="51" t="s">
        <v>108</v>
      </c>
      <c r="D18" s="66">
        <v>624.41</v>
      </c>
      <c r="E18" s="66">
        <v>624.41</v>
      </c>
    </row>
    <row r="19" spans="1:5" ht="15.75">
      <c r="A19" s="67"/>
      <c r="B19" s="58" t="s">
        <v>110</v>
      </c>
      <c r="C19" s="51" t="s">
        <v>108</v>
      </c>
      <c r="D19" s="68">
        <f>D17-D18</f>
        <v>206.56000000000006</v>
      </c>
      <c r="E19" s="68">
        <f>E17-E18</f>
        <v>206.56000000000006</v>
      </c>
    </row>
    <row r="20" spans="1:5" ht="15.75" customHeight="1">
      <c r="A20" s="63"/>
      <c r="B20" s="58" t="s">
        <v>115</v>
      </c>
      <c r="C20" s="51" t="s">
        <v>108</v>
      </c>
      <c r="D20" s="64">
        <f>D9+D13+D17</f>
        <v>109770.04</v>
      </c>
      <c r="E20" s="64">
        <f>E9+E13+E17</f>
        <v>102890.14</v>
      </c>
    </row>
    <row r="21" spans="1:5" ht="19.5" customHeight="1">
      <c r="A21" s="63"/>
      <c r="B21" s="58" t="s">
        <v>116</v>
      </c>
      <c r="C21" s="51" t="s">
        <v>108</v>
      </c>
      <c r="D21" s="64">
        <f>D11+D15+D19</f>
        <v>7610.070000000003</v>
      </c>
      <c r="E21" s="64">
        <f>E11+E15+E19</f>
        <v>6443.610000000003</v>
      </c>
    </row>
    <row r="22" spans="1:5" ht="18.75" customHeight="1">
      <c r="A22" s="57" t="s">
        <v>117</v>
      </c>
      <c r="B22" s="69" t="s">
        <v>118</v>
      </c>
      <c r="C22" s="51"/>
      <c r="D22" s="70"/>
      <c r="E22" s="70"/>
    </row>
    <row r="23" spans="1:5" ht="98.25" customHeight="1">
      <c r="A23" s="71" t="s">
        <v>119</v>
      </c>
      <c r="B23" s="72" t="s">
        <v>120</v>
      </c>
      <c r="C23" s="59" t="s">
        <v>108</v>
      </c>
      <c r="D23" s="64">
        <f>D9*0.11</f>
        <v>11226.5087</v>
      </c>
      <c r="E23" s="64">
        <f>E9*0.11</f>
        <v>11226.5087</v>
      </c>
    </row>
    <row r="24" spans="1:5" ht="98.25" customHeight="1">
      <c r="A24" s="71" t="s">
        <v>121</v>
      </c>
      <c r="B24" s="72" t="s">
        <v>122</v>
      </c>
      <c r="C24" s="59" t="s">
        <v>108</v>
      </c>
      <c r="D24" s="64">
        <f>D9*0.7</f>
        <v>71441.419</v>
      </c>
      <c r="E24" s="64">
        <f>E9*0.7</f>
        <v>71441.419</v>
      </c>
    </row>
    <row r="25" spans="1:5" ht="15.75">
      <c r="A25" s="71" t="s">
        <v>123</v>
      </c>
      <c r="B25" s="58" t="s">
        <v>124</v>
      </c>
      <c r="C25" s="59" t="s">
        <v>108</v>
      </c>
      <c r="D25" s="73">
        <v>91300</v>
      </c>
      <c r="E25" s="73">
        <v>91300</v>
      </c>
    </row>
    <row r="26" spans="1:5" ht="15.75">
      <c r="A26" s="71" t="s">
        <v>125</v>
      </c>
      <c r="B26" s="74" t="s">
        <v>126</v>
      </c>
      <c r="C26" s="59" t="s">
        <v>108</v>
      </c>
      <c r="D26" s="73">
        <v>634100</v>
      </c>
      <c r="E26" s="73">
        <v>0</v>
      </c>
    </row>
    <row r="27" spans="1:5" ht="15.75">
      <c r="A27" s="63"/>
      <c r="B27" s="58" t="s">
        <v>127</v>
      </c>
      <c r="C27" s="59" t="s">
        <v>108</v>
      </c>
      <c r="D27" s="64">
        <f>D23+D24+D25+D26</f>
        <v>808067.9277</v>
      </c>
      <c r="E27" s="64">
        <f>E23+E24+E25+E26</f>
        <v>173967.9277</v>
      </c>
    </row>
    <row r="28" spans="1:5" ht="15.75">
      <c r="A28" s="62" t="s">
        <v>56</v>
      </c>
      <c r="B28" s="58" t="s">
        <v>128</v>
      </c>
      <c r="C28" s="51" t="s">
        <v>108</v>
      </c>
      <c r="D28" s="70">
        <f>D20-D27</f>
        <v>-698297.8877</v>
      </c>
      <c r="E28" s="70">
        <f>E20-E27</f>
        <v>-71077.7877</v>
      </c>
    </row>
    <row r="29" spans="1:5" ht="31.5">
      <c r="A29" s="71" t="s">
        <v>129</v>
      </c>
      <c r="B29" s="72" t="s">
        <v>130</v>
      </c>
      <c r="C29" s="51" t="s">
        <v>108</v>
      </c>
      <c r="D29" s="70">
        <f>D28-D21</f>
        <v>-705907.9576999999</v>
      </c>
      <c r="E29" s="70">
        <f>E28-E21</f>
        <v>-77521.3977</v>
      </c>
    </row>
    <row r="30" spans="1:4" ht="15.75">
      <c r="A30" s="75"/>
      <c r="B30" s="76"/>
      <c r="C30" s="77"/>
      <c r="D30" s="77"/>
    </row>
    <row r="31" spans="2:4" ht="17.25" customHeight="1">
      <c r="B31" s="200" t="s">
        <v>131</v>
      </c>
      <c r="C31" s="200"/>
      <c r="D31" s="200"/>
    </row>
    <row r="32" spans="2:4" ht="15.75">
      <c r="B32" s="79"/>
      <c r="C32" s="79"/>
      <c r="D32" s="79"/>
    </row>
    <row r="33" spans="2:4" ht="15.75">
      <c r="B33" s="78" t="s">
        <v>72</v>
      </c>
      <c r="C33" s="78"/>
      <c r="D33" s="78"/>
    </row>
    <row r="34" spans="2:4" ht="15.75">
      <c r="B34" s="200" t="s">
        <v>132</v>
      </c>
      <c r="C34" s="200"/>
      <c r="D34" s="200"/>
    </row>
    <row r="35" spans="2:4" ht="15.75">
      <c r="B35" s="196" t="s">
        <v>133</v>
      </c>
      <c r="C35" s="196"/>
      <c r="D35" s="196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A44" sqref="A4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209" t="s">
        <v>87</v>
      </c>
      <c r="B1" s="209"/>
      <c r="C1" s="209"/>
      <c r="D1" s="209"/>
      <c r="E1" s="209"/>
      <c r="F1" s="209"/>
      <c r="G1" s="209"/>
      <c r="H1" s="209"/>
    </row>
    <row r="2" spans="1:8" ht="61.5" customHeight="1">
      <c r="A2" s="210" t="s">
        <v>85</v>
      </c>
      <c r="B2" s="210"/>
      <c r="C2" s="210"/>
      <c r="D2" s="210"/>
      <c r="E2" s="210"/>
      <c r="F2" s="210"/>
      <c r="G2" s="210"/>
      <c r="H2" s="210"/>
    </row>
    <row r="3" spans="1:6" ht="18.75">
      <c r="A3" s="1" t="s">
        <v>73</v>
      </c>
      <c r="B3" s="1" t="s">
        <v>84</v>
      </c>
      <c r="C3" s="2"/>
      <c r="D3" s="2" t="s">
        <v>0</v>
      </c>
      <c r="E3" s="26">
        <v>1490.8</v>
      </c>
      <c r="F3" s="2"/>
    </row>
    <row r="4" spans="2:6" ht="15.75">
      <c r="B4" s="3" t="s">
        <v>1</v>
      </c>
      <c r="C4" s="44">
        <v>3</v>
      </c>
      <c r="D4" s="2" t="s">
        <v>2</v>
      </c>
      <c r="E4" s="27">
        <v>36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55</v>
      </c>
      <c r="B7" s="192"/>
      <c r="C7" s="192"/>
      <c r="D7" s="19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52" t="s">
        <v>59</v>
      </c>
      <c r="C8" s="216"/>
      <c r="D8" s="216"/>
      <c r="E8" s="216"/>
      <c r="F8" s="217"/>
      <c r="G8" s="15"/>
      <c r="H8" s="16"/>
    </row>
    <row r="9" spans="1:8" ht="15.75">
      <c r="A9" s="22"/>
      <c r="B9" s="193" t="s">
        <v>60</v>
      </c>
      <c r="C9" s="193"/>
      <c r="D9" s="193"/>
      <c r="E9" s="193"/>
      <c r="F9" s="193"/>
      <c r="G9" s="15"/>
      <c r="H9" s="30">
        <v>12333.72</v>
      </c>
    </row>
    <row r="10" spans="1:8" ht="15.75">
      <c r="A10" s="22">
        <v>1</v>
      </c>
      <c r="B10" s="191" t="s">
        <v>57</v>
      </c>
      <c r="C10" s="191"/>
      <c r="D10" s="191"/>
      <c r="E10" s="191"/>
      <c r="F10" s="191"/>
      <c r="G10" s="15"/>
      <c r="H10" s="34">
        <v>157161.64</v>
      </c>
    </row>
    <row r="11" spans="1:8" ht="15.75">
      <c r="A11" s="22"/>
      <c r="B11" s="191" t="s">
        <v>61</v>
      </c>
      <c r="C11" s="191"/>
      <c r="D11" s="191"/>
      <c r="E11" s="191"/>
      <c r="F11" s="191"/>
      <c r="G11" s="15"/>
      <c r="H11" s="35">
        <f>H10*0.9</f>
        <v>141445.47600000002</v>
      </c>
    </row>
    <row r="12" spans="1:8" ht="15.75" customHeight="1">
      <c r="A12" s="22"/>
      <c r="B12" s="191" t="s">
        <v>62</v>
      </c>
      <c r="C12" s="191"/>
      <c r="D12" s="191"/>
      <c r="E12" s="191"/>
      <c r="F12" s="191"/>
      <c r="G12" s="15"/>
      <c r="H12" s="35">
        <f>H10-H11</f>
        <v>15716.16399999999</v>
      </c>
    </row>
    <row r="13" spans="1:8" ht="15.75" customHeight="1">
      <c r="A13" s="22">
        <v>2</v>
      </c>
      <c r="B13" s="191" t="s">
        <v>58</v>
      </c>
      <c r="C13" s="191"/>
      <c r="D13" s="191"/>
      <c r="E13" s="191"/>
      <c r="F13" s="191"/>
      <c r="G13" s="15"/>
      <c r="H13" s="34">
        <v>156236.72</v>
      </c>
    </row>
    <row r="14" spans="1:8" ht="15.75" customHeight="1">
      <c r="A14" s="22">
        <v>3</v>
      </c>
      <c r="B14" s="191" t="s">
        <v>63</v>
      </c>
      <c r="C14" s="191"/>
      <c r="D14" s="191"/>
      <c r="E14" s="191"/>
      <c r="F14" s="191"/>
      <c r="G14" s="15"/>
      <c r="H14" s="35">
        <f>H10-H13</f>
        <v>924.9200000000128</v>
      </c>
    </row>
    <row r="15" spans="1:8" ht="15.75" customHeight="1">
      <c r="A15" s="22">
        <v>4</v>
      </c>
      <c r="B15" s="193" t="s">
        <v>64</v>
      </c>
      <c r="C15" s="193"/>
      <c r="D15" s="193"/>
      <c r="E15" s="193"/>
      <c r="F15" s="193"/>
      <c r="G15" s="15"/>
      <c r="H15" s="36">
        <f>H9+H10-H13</f>
        <v>13258.640000000014</v>
      </c>
    </row>
    <row r="16" spans="1:8" ht="18.75">
      <c r="A16" s="22">
        <v>5</v>
      </c>
      <c r="B16" s="215" t="s">
        <v>68</v>
      </c>
      <c r="C16" s="215"/>
      <c r="D16" s="215"/>
      <c r="E16" s="215"/>
      <c r="F16" s="215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14" t="s">
        <v>18</v>
      </c>
      <c r="C18" s="214"/>
      <c r="D18" s="214"/>
      <c r="E18" s="6" t="s">
        <v>32</v>
      </c>
      <c r="F18" s="6" t="s">
        <v>24</v>
      </c>
      <c r="G18" s="12">
        <v>0.9</v>
      </c>
      <c r="H18" s="39">
        <f>ROUND(G18*$E$3*12,2)</f>
        <v>16100.64</v>
      </c>
    </row>
    <row r="19" spans="1:8" ht="15.75">
      <c r="A19" s="29" t="s">
        <v>42</v>
      </c>
      <c r="B19" s="214" t="s">
        <v>17</v>
      </c>
      <c r="C19" s="214"/>
      <c r="D19" s="214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4651.3</v>
      </c>
    </row>
    <row r="20" spans="1:8" ht="15.75">
      <c r="A20" s="28" t="s">
        <v>43</v>
      </c>
      <c r="B20" s="211" t="s">
        <v>23</v>
      </c>
      <c r="C20" s="211"/>
      <c r="D20" s="211"/>
      <c r="E20" s="7" t="s">
        <v>8</v>
      </c>
      <c r="F20" s="7" t="s">
        <v>20</v>
      </c>
      <c r="G20" s="12">
        <v>0.32</v>
      </c>
      <c r="H20" s="39">
        <f t="shared" si="0"/>
        <v>5724.67</v>
      </c>
    </row>
    <row r="21" spans="1:8" ht="33" customHeight="1">
      <c r="A21" s="29" t="s">
        <v>44</v>
      </c>
      <c r="B21" s="190" t="s">
        <v>31</v>
      </c>
      <c r="C21" s="190"/>
      <c r="D21" s="190"/>
      <c r="E21" s="8" t="s">
        <v>9</v>
      </c>
      <c r="F21" s="8" t="s">
        <v>10</v>
      </c>
      <c r="G21" s="12">
        <v>0.46</v>
      </c>
      <c r="H21" s="39">
        <f t="shared" si="0"/>
        <v>8229.22</v>
      </c>
    </row>
    <row r="22" spans="1:8" ht="63">
      <c r="A22" s="28" t="s">
        <v>47</v>
      </c>
      <c r="B22" s="211" t="s">
        <v>27</v>
      </c>
      <c r="C22" s="211"/>
      <c r="D22" s="211"/>
      <c r="E22" s="7" t="s">
        <v>34</v>
      </c>
      <c r="F22" s="7" t="s">
        <v>25</v>
      </c>
      <c r="G22" s="12">
        <v>0.11</v>
      </c>
      <c r="H22" s="39">
        <f t="shared" si="0"/>
        <v>1967.86</v>
      </c>
    </row>
    <row r="23" spans="1:8" ht="31.5">
      <c r="A23" s="29" t="s">
        <v>45</v>
      </c>
      <c r="B23" s="211" t="s">
        <v>11</v>
      </c>
      <c r="C23" s="211"/>
      <c r="D23" s="211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11" t="s">
        <v>26</v>
      </c>
      <c r="C24" s="212"/>
      <c r="D24" s="212"/>
      <c r="E24" s="9" t="s">
        <v>13</v>
      </c>
      <c r="F24" s="9" t="s">
        <v>14</v>
      </c>
      <c r="G24" s="12">
        <v>0.04</v>
      </c>
      <c r="H24" s="39">
        <f t="shared" si="0"/>
        <v>715.58</v>
      </c>
    </row>
    <row r="25" spans="1:8" ht="35.25" customHeight="1">
      <c r="A25" s="29" t="s">
        <v>48</v>
      </c>
      <c r="B25" s="191" t="s">
        <v>76</v>
      </c>
      <c r="C25" s="191"/>
      <c r="D25" s="191"/>
      <c r="E25" s="45" t="s">
        <v>13</v>
      </c>
      <c r="F25" s="46" t="s">
        <v>74</v>
      </c>
      <c r="G25" s="47">
        <v>0.22</v>
      </c>
      <c r="H25" s="48">
        <f t="shared" si="0"/>
        <v>3935.71</v>
      </c>
    </row>
    <row r="26" spans="1:8" ht="31.5">
      <c r="A26" s="28" t="s">
        <v>77</v>
      </c>
      <c r="B26" s="211" t="s">
        <v>35</v>
      </c>
      <c r="C26" s="211"/>
      <c r="D26" s="211"/>
      <c r="E26" s="6" t="s">
        <v>36</v>
      </c>
      <c r="F26" s="7" t="s">
        <v>74</v>
      </c>
      <c r="G26" s="12">
        <v>2.5</v>
      </c>
      <c r="H26" s="39">
        <f t="shared" si="0"/>
        <v>44724</v>
      </c>
    </row>
    <row r="27" spans="1:8" ht="31.5">
      <c r="A27" s="29" t="s">
        <v>78</v>
      </c>
      <c r="B27" s="214" t="s">
        <v>15</v>
      </c>
      <c r="C27" s="214"/>
      <c r="D27" s="214"/>
      <c r="E27" s="6" t="s">
        <v>36</v>
      </c>
      <c r="F27" s="7" t="s">
        <v>74</v>
      </c>
      <c r="G27" s="12">
        <v>0.38</v>
      </c>
      <c r="H27" s="39">
        <f t="shared" si="0"/>
        <v>6798.05</v>
      </c>
    </row>
    <row r="28" spans="1:8" ht="31.5">
      <c r="A28" s="28" t="s">
        <v>79</v>
      </c>
      <c r="B28" s="194" t="s">
        <v>37</v>
      </c>
      <c r="C28" s="195"/>
      <c r="D28" s="195"/>
      <c r="E28" s="6" t="s">
        <v>36</v>
      </c>
      <c r="F28" s="7" t="s">
        <v>74</v>
      </c>
      <c r="G28" s="50">
        <f>1.82-G29-G30</f>
        <v>1.57</v>
      </c>
      <c r="H28" s="39">
        <f t="shared" si="0"/>
        <v>28086.67</v>
      </c>
    </row>
    <row r="29" spans="1:8" ht="31.5">
      <c r="A29" s="29" t="s">
        <v>80</v>
      </c>
      <c r="B29" s="211" t="s">
        <v>28</v>
      </c>
      <c r="C29" s="211"/>
      <c r="D29" s="211"/>
      <c r="E29" s="6" t="s">
        <v>36</v>
      </c>
      <c r="F29" s="7" t="s">
        <v>74</v>
      </c>
      <c r="G29" s="13">
        <v>0.25</v>
      </c>
      <c r="H29" s="39">
        <f t="shared" si="0"/>
        <v>4472.4</v>
      </c>
    </row>
    <row r="30" spans="1:8" ht="31.5">
      <c r="A30" s="28" t="s">
        <v>81</v>
      </c>
      <c r="B30" s="211" t="s">
        <v>29</v>
      </c>
      <c r="C30" s="211"/>
      <c r="D30" s="211"/>
      <c r="E30" s="6" t="s">
        <v>36</v>
      </c>
      <c r="F30" s="7" t="s">
        <v>74</v>
      </c>
      <c r="G30" s="13">
        <v>0</v>
      </c>
      <c r="H30" s="39">
        <f t="shared" si="0"/>
        <v>0</v>
      </c>
    </row>
    <row r="31" spans="1:8" ht="31.5">
      <c r="A31" s="29" t="s">
        <v>49</v>
      </c>
      <c r="B31" s="212" t="s">
        <v>21</v>
      </c>
      <c r="C31" s="212"/>
      <c r="D31" s="212"/>
      <c r="E31" s="6" t="s">
        <v>36</v>
      </c>
      <c r="F31" s="7" t="s">
        <v>74</v>
      </c>
      <c r="G31" s="9">
        <v>0.88</v>
      </c>
      <c r="H31" s="39">
        <f t="shared" si="0"/>
        <v>15742.85</v>
      </c>
    </row>
    <row r="32" spans="1:8" ht="15.75">
      <c r="A32" s="22" t="s">
        <v>82</v>
      </c>
      <c r="B32" s="213" t="s">
        <v>30</v>
      </c>
      <c r="C32" s="213"/>
      <c r="D32" s="213"/>
      <c r="E32" s="14"/>
      <c r="F32" s="7"/>
      <c r="G32" s="20">
        <f>SUM(G18:G31)</f>
        <v>7.890000000000001</v>
      </c>
      <c r="H32" s="40">
        <f>SUM(H18:H31)</f>
        <v>141148.95</v>
      </c>
    </row>
    <row r="33" spans="1:8" ht="15.75">
      <c r="A33" s="22" t="s">
        <v>50</v>
      </c>
      <c r="B33" s="193" t="s">
        <v>38</v>
      </c>
      <c r="C33" s="212"/>
      <c r="D33" s="212"/>
      <c r="E33" s="14"/>
      <c r="F33" s="7" t="s">
        <v>74</v>
      </c>
      <c r="G33" s="23">
        <f>H33/E3/12</f>
        <v>8.094088185314373</v>
      </c>
      <c r="H33" s="24">
        <v>144800</v>
      </c>
    </row>
    <row r="34" spans="1:8" ht="18.75">
      <c r="A34" s="25" t="s">
        <v>51</v>
      </c>
      <c r="B34" s="208" t="s">
        <v>70</v>
      </c>
      <c r="C34" s="208"/>
      <c r="D34" s="208"/>
      <c r="E34" s="208"/>
      <c r="F34" s="208"/>
      <c r="G34" s="20">
        <f>SUM(G32:G33)</f>
        <v>15.984088185314373</v>
      </c>
      <c r="H34" s="41">
        <f>SUM(H32:H33)</f>
        <v>285948.95</v>
      </c>
    </row>
    <row r="35" spans="1:8" ht="15.75" customHeight="1">
      <c r="A35" s="22" t="s">
        <v>56</v>
      </c>
      <c r="B35" s="201" t="s">
        <v>39</v>
      </c>
      <c r="C35" s="202"/>
      <c r="D35" s="202"/>
      <c r="E35" s="202"/>
      <c r="F35" s="202"/>
      <c r="G35" s="203"/>
      <c r="H35" s="31"/>
    </row>
    <row r="36" spans="1:8" ht="15.75" customHeight="1">
      <c r="A36" s="22" t="s">
        <v>52</v>
      </c>
      <c r="B36" s="205" t="s">
        <v>65</v>
      </c>
      <c r="C36" s="206"/>
      <c r="D36" s="206"/>
      <c r="E36" s="206"/>
      <c r="F36" s="206"/>
      <c r="G36" s="207"/>
      <c r="H36" s="32">
        <v>-77521.4</v>
      </c>
    </row>
    <row r="37" spans="1:8" ht="15.75" customHeight="1">
      <c r="A37" s="22" t="s">
        <v>53</v>
      </c>
      <c r="B37" s="205" t="s">
        <v>66</v>
      </c>
      <c r="C37" s="206"/>
      <c r="D37" s="206"/>
      <c r="E37" s="206"/>
      <c r="F37" s="206"/>
      <c r="G37" s="207"/>
      <c r="H37" s="42">
        <f>H13-H34</f>
        <v>-129712.23000000001</v>
      </c>
    </row>
    <row r="38" spans="1:8" ht="19.5" customHeight="1">
      <c r="A38" s="22" t="s">
        <v>54</v>
      </c>
      <c r="B38" s="205" t="s">
        <v>67</v>
      </c>
      <c r="C38" s="206"/>
      <c r="D38" s="206"/>
      <c r="E38" s="206"/>
      <c r="F38" s="206"/>
      <c r="G38" s="207"/>
      <c r="H38" s="42">
        <f>H36+H37</f>
        <v>-207233.63</v>
      </c>
    </row>
    <row r="39" spans="2:6" ht="15.75">
      <c r="B39" s="33"/>
      <c r="F39" s="33"/>
    </row>
    <row r="40" spans="2:6" ht="15.75" customHeight="1">
      <c r="B40" s="33"/>
      <c r="C40" s="33"/>
      <c r="D40" s="33"/>
      <c r="E40" s="33"/>
      <c r="F40" s="33"/>
    </row>
    <row r="41" spans="1:8" ht="15.75">
      <c r="A41" s="204" t="s">
        <v>71</v>
      </c>
      <c r="B41" s="204"/>
      <c r="C41" s="204"/>
      <c r="D41" s="204"/>
      <c r="E41" s="204"/>
      <c r="F41" s="204"/>
      <c r="G41" s="204"/>
      <c r="H41" s="204"/>
    </row>
    <row r="42" spans="1:3" ht="15.75">
      <c r="A42" s="33"/>
      <c r="B42" s="33"/>
      <c r="C42" s="33"/>
    </row>
    <row r="43" spans="1:3" ht="15.75">
      <c r="A43" s="43" t="s">
        <v>72</v>
      </c>
      <c r="B43" s="43"/>
      <c r="C43" s="43"/>
    </row>
    <row r="44" spans="1:7" ht="15.75" customHeight="1">
      <c r="A44" s="49" t="s">
        <v>86</v>
      </c>
      <c r="B44" s="49"/>
      <c r="C44" s="49"/>
      <c r="D44" s="49"/>
      <c r="E44" s="49"/>
      <c r="F44" s="49"/>
      <c r="G44" s="49"/>
    </row>
    <row r="45" spans="1:3" ht="15.75">
      <c r="A45" s="196" t="s">
        <v>75</v>
      </c>
      <c r="B45" s="196"/>
      <c r="C45" s="196"/>
    </row>
  </sheetData>
  <sheetProtection/>
  <mergeCells count="35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8:D18"/>
    <mergeCell ref="B19:D19"/>
    <mergeCell ref="B33:D33"/>
    <mergeCell ref="B28:D28"/>
    <mergeCell ref="B21:D21"/>
    <mergeCell ref="B22:D22"/>
    <mergeCell ref="B23:D23"/>
    <mergeCell ref="B24:D24"/>
    <mergeCell ref="B25:D25"/>
    <mergeCell ref="B20:D20"/>
    <mergeCell ref="B34:F34"/>
    <mergeCell ref="A1:H1"/>
    <mergeCell ref="A2:H2"/>
    <mergeCell ref="B29:D29"/>
    <mergeCell ref="B30:D30"/>
    <mergeCell ref="B31:D31"/>
    <mergeCell ref="B32:D32"/>
    <mergeCell ref="B26:D26"/>
    <mergeCell ref="B27:D27"/>
    <mergeCell ref="B16:F16"/>
    <mergeCell ref="B35:G35"/>
    <mergeCell ref="A41:H41"/>
    <mergeCell ref="A45:C45"/>
    <mergeCell ref="B36:G36"/>
    <mergeCell ref="B37:G37"/>
    <mergeCell ref="B38:G38"/>
  </mergeCells>
  <printOptions/>
  <pageMargins left="0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3">
      <selection activeCell="H25" sqref="H2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0.1289062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209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218" t="s">
        <v>210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18.75">
      <c r="A3" s="1" t="s">
        <v>141</v>
      </c>
      <c r="B3" s="1" t="s">
        <v>84</v>
      </c>
      <c r="C3" s="2"/>
      <c r="D3" s="2" t="s">
        <v>0</v>
      </c>
      <c r="E3" s="26">
        <v>1490.8</v>
      </c>
      <c r="F3" s="2"/>
      <c r="H3" s="89"/>
      <c r="I3" s="89"/>
    </row>
    <row r="4" spans="2:8" ht="15.75">
      <c r="B4" s="3" t="s">
        <v>1</v>
      </c>
      <c r="C4" s="44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142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143</v>
      </c>
    </row>
    <row r="7" spans="1:10" ht="39" customHeight="1">
      <c r="A7" s="21" t="s">
        <v>55</v>
      </c>
      <c r="B7" s="219" t="s">
        <v>144</v>
      </c>
      <c r="C7" s="220"/>
      <c r="D7" s="221"/>
      <c r="E7" s="11" t="s">
        <v>6</v>
      </c>
      <c r="F7" s="11" t="s">
        <v>7</v>
      </c>
      <c r="G7" s="90" t="s">
        <v>22</v>
      </c>
      <c r="H7" s="222" t="s">
        <v>145</v>
      </c>
      <c r="I7" s="223"/>
      <c r="J7" s="224"/>
    </row>
    <row r="8" spans="1:10" ht="15.75">
      <c r="A8" s="22">
        <v>1</v>
      </c>
      <c r="B8" s="152"/>
      <c r="C8" s="216"/>
      <c r="D8" s="216"/>
      <c r="E8" s="216"/>
      <c r="F8" s="217"/>
      <c r="G8" s="91"/>
      <c r="H8" s="92" t="s">
        <v>146</v>
      </c>
      <c r="I8" s="93" t="s">
        <v>147</v>
      </c>
      <c r="J8" s="93" t="s">
        <v>148</v>
      </c>
    </row>
    <row r="9" spans="1:10" ht="15.75">
      <c r="A9" s="22"/>
      <c r="B9" s="152" t="s">
        <v>149</v>
      </c>
      <c r="C9" s="216"/>
      <c r="D9" s="216"/>
      <c r="E9" s="216"/>
      <c r="F9" s="217"/>
      <c r="G9" s="94"/>
      <c r="H9" s="94"/>
      <c r="I9" s="59"/>
      <c r="J9" s="93"/>
    </row>
    <row r="10" spans="1:10" ht="15.75" customHeight="1">
      <c r="A10" s="95"/>
      <c r="B10" s="191" t="s">
        <v>150</v>
      </c>
      <c r="C10" s="191"/>
      <c r="D10" s="191"/>
      <c r="E10" s="191"/>
      <c r="F10" s="191"/>
      <c r="G10" s="15"/>
      <c r="H10" s="121">
        <v>146780.73</v>
      </c>
      <c r="I10" s="123"/>
      <c r="J10" s="121">
        <f>H10+I10</f>
        <v>146780.73</v>
      </c>
    </row>
    <row r="11" spans="1:10" ht="15.75" customHeight="1">
      <c r="A11" s="95"/>
      <c r="B11" s="191" t="s">
        <v>151</v>
      </c>
      <c r="C11" s="191"/>
      <c r="D11" s="191"/>
      <c r="E11" s="191"/>
      <c r="F11" s="191"/>
      <c r="G11" s="15"/>
      <c r="H11" s="121">
        <v>9255.3</v>
      </c>
      <c r="I11" s="123"/>
      <c r="J11" s="121">
        <f>H11+I11</f>
        <v>9255.3</v>
      </c>
    </row>
    <row r="12" spans="1:10" ht="15.75" customHeight="1">
      <c r="A12" s="22"/>
      <c r="B12" s="191" t="s">
        <v>152</v>
      </c>
      <c r="C12" s="191"/>
      <c r="D12" s="191"/>
      <c r="E12" s="191"/>
      <c r="F12" s="191"/>
      <c r="G12" s="15"/>
      <c r="H12" s="121"/>
      <c r="I12" s="123">
        <v>0</v>
      </c>
      <c r="J12" s="121">
        <f>H12+I12</f>
        <v>0</v>
      </c>
    </row>
    <row r="13" spans="1:10" ht="15.75">
      <c r="A13" s="22"/>
      <c r="B13" s="191" t="s">
        <v>153</v>
      </c>
      <c r="C13" s="191"/>
      <c r="D13" s="191"/>
      <c r="E13" s="191"/>
      <c r="F13" s="191"/>
      <c r="G13" s="15"/>
      <c r="H13" s="123">
        <v>0</v>
      </c>
      <c r="I13" s="123"/>
      <c r="J13" s="121">
        <f>H13+I13</f>
        <v>0</v>
      </c>
    </row>
    <row r="14" spans="1:10" ht="15.75" customHeight="1">
      <c r="A14" s="22"/>
      <c r="B14" s="193" t="s">
        <v>154</v>
      </c>
      <c r="C14" s="193"/>
      <c r="D14" s="193"/>
      <c r="E14" s="193"/>
      <c r="F14" s="193"/>
      <c r="G14" s="15"/>
      <c r="H14" s="124">
        <f>SUM(H10:H12)</f>
        <v>156036.03</v>
      </c>
      <c r="I14" s="125">
        <f>SUM(I10:I12)</f>
        <v>0</v>
      </c>
      <c r="J14" s="124">
        <f>SUM(J10:J13)</f>
        <v>156036.03</v>
      </c>
    </row>
    <row r="15" spans="1:10" ht="18.75" customHeight="1">
      <c r="A15" s="22">
        <v>2</v>
      </c>
      <c r="B15" s="215" t="s">
        <v>68</v>
      </c>
      <c r="C15" s="215"/>
      <c r="D15" s="215"/>
      <c r="E15" s="215"/>
      <c r="F15" s="215"/>
      <c r="G15" s="15"/>
      <c r="H15" s="126"/>
      <c r="I15" s="127"/>
      <c r="J15" s="128"/>
    </row>
    <row r="16" spans="1:10" ht="15.75">
      <c r="A16" s="22" t="s">
        <v>138</v>
      </c>
      <c r="B16" s="18" t="s">
        <v>69</v>
      </c>
      <c r="C16" s="18"/>
      <c r="D16" s="18"/>
      <c r="E16" s="18"/>
      <c r="F16" s="5"/>
      <c r="G16" s="92"/>
      <c r="H16" s="129"/>
      <c r="I16" s="130"/>
      <c r="J16" s="131"/>
    </row>
    <row r="17" spans="1:10" ht="33.75" customHeight="1">
      <c r="A17" s="97"/>
      <c r="B17" s="225" t="s">
        <v>213</v>
      </c>
      <c r="C17" s="225"/>
      <c r="D17" s="225"/>
      <c r="E17" s="98" t="s">
        <v>32</v>
      </c>
      <c r="F17" s="85" t="s">
        <v>24</v>
      </c>
      <c r="G17" s="47">
        <v>0.92</v>
      </c>
      <c r="H17" s="132">
        <f>ROUND(G17*$E$3*12,2)</f>
        <v>16458.43</v>
      </c>
      <c r="I17" s="133">
        <f>$I$12*0.08</f>
        <v>0</v>
      </c>
      <c r="J17" s="134">
        <f>SUM(H17:I17)</f>
        <v>16458.43</v>
      </c>
    </row>
    <row r="18" spans="1:10" ht="17.25" customHeight="1">
      <c r="A18" s="22"/>
      <c r="B18" s="226" t="s">
        <v>17</v>
      </c>
      <c r="C18" s="226"/>
      <c r="D18" s="226"/>
      <c r="E18" s="98" t="s">
        <v>32</v>
      </c>
      <c r="F18" s="85" t="s">
        <v>19</v>
      </c>
      <c r="G18" s="47">
        <v>0.26</v>
      </c>
      <c r="H18" s="132">
        <f>ROUND(G18*$E$3*12,2)</f>
        <v>4651.3</v>
      </c>
      <c r="I18" s="133">
        <f>$I$12*0.02</f>
        <v>0</v>
      </c>
      <c r="J18" s="134">
        <f aca="true" t="shared" si="0" ref="J18:J37">SUM(H18:I18)</f>
        <v>4651.3</v>
      </c>
    </row>
    <row r="19" spans="1:10" ht="20.25" customHeight="1">
      <c r="A19" s="22"/>
      <c r="B19" s="227" t="s">
        <v>23</v>
      </c>
      <c r="C19" s="227"/>
      <c r="D19" s="227"/>
      <c r="E19" s="99" t="s">
        <v>155</v>
      </c>
      <c r="F19" s="46" t="s">
        <v>20</v>
      </c>
      <c r="G19" s="47">
        <v>0.35</v>
      </c>
      <c r="H19" s="132">
        <f>J19-I19</f>
        <v>5811.17</v>
      </c>
      <c r="I19" s="133">
        <f>$I$12*0.07</f>
        <v>0</v>
      </c>
      <c r="J19" s="134">
        <v>5811.17</v>
      </c>
    </row>
    <row r="20" spans="1:10" ht="20.25" customHeight="1">
      <c r="A20" s="97"/>
      <c r="B20" s="225" t="s">
        <v>31</v>
      </c>
      <c r="C20" s="225"/>
      <c r="D20" s="225"/>
      <c r="E20" s="100" t="s">
        <v>9</v>
      </c>
      <c r="F20" s="86" t="s">
        <v>10</v>
      </c>
      <c r="G20" s="47">
        <v>0.46</v>
      </c>
      <c r="H20" s="132">
        <f>ROUND(G20*$E$3*12,2)</f>
        <v>8229.22</v>
      </c>
      <c r="I20" s="133">
        <f>$I$12*0.04</f>
        <v>0</v>
      </c>
      <c r="J20" s="134">
        <f t="shared" si="0"/>
        <v>8229.22</v>
      </c>
    </row>
    <row r="21" spans="1:10" ht="49.5" customHeight="1">
      <c r="A21" s="22"/>
      <c r="B21" s="227" t="s">
        <v>27</v>
      </c>
      <c r="C21" s="227"/>
      <c r="D21" s="227"/>
      <c r="E21" s="99" t="s">
        <v>156</v>
      </c>
      <c r="F21" s="46" t="s">
        <v>25</v>
      </c>
      <c r="G21" s="47">
        <v>0.11</v>
      </c>
      <c r="H21" s="132">
        <f>J21-I21</f>
        <v>3218.85</v>
      </c>
      <c r="I21" s="133">
        <f>$I$12*0.01</f>
        <v>0</v>
      </c>
      <c r="J21" s="134">
        <v>3218.85</v>
      </c>
    </row>
    <row r="22" spans="1:10" ht="20.25" customHeight="1">
      <c r="A22" s="97"/>
      <c r="B22" s="227" t="s">
        <v>11</v>
      </c>
      <c r="C22" s="227"/>
      <c r="D22" s="227"/>
      <c r="E22" s="99" t="s">
        <v>9</v>
      </c>
      <c r="F22" s="46" t="s">
        <v>12</v>
      </c>
      <c r="G22" s="47">
        <v>0</v>
      </c>
      <c r="H22" s="132">
        <f>J22-I22</f>
        <v>0</v>
      </c>
      <c r="I22" s="133">
        <f>$I$12*0.15</f>
        <v>0</v>
      </c>
      <c r="J22" s="134">
        <f>G22*E3*12</f>
        <v>0</v>
      </c>
    </row>
    <row r="23" spans="1:10" ht="20.25" customHeight="1">
      <c r="A23" s="97"/>
      <c r="B23" s="227" t="s">
        <v>26</v>
      </c>
      <c r="C23" s="235"/>
      <c r="D23" s="235"/>
      <c r="E23" s="101" t="s">
        <v>13</v>
      </c>
      <c r="F23" s="45" t="s">
        <v>14</v>
      </c>
      <c r="G23" s="47">
        <v>0.04</v>
      </c>
      <c r="H23" s="132">
        <f>J23-I23</f>
        <v>3039.13</v>
      </c>
      <c r="I23" s="133">
        <f>$I$12*0.003</f>
        <v>0</v>
      </c>
      <c r="J23" s="134">
        <v>3039.13</v>
      </c>
    </row>
    <row r="24" spans="1:10" ht="28.5" customHeight="1">
      <c r="A24" s="22"/>
      <c r="B24" s="227" t="s">
        <v>157</v>
      </c>
      <c r="C24" s="227"/>
      <c r="D24" s="227"/>
      <c r="E24" s="98" t="s">
        <v>36</v>
      </c>
      <c r="F24" s="102" t="s">
        <v>158</v>
      </c>
      <c r="G24" s="47">
        <v>1.87</v>
      </c>
      <c r="H24" s="132">
        <f aca="true" t="shared" si="1" ref="H24:H29">ROUND(G24*$E$3*12,2)</f>
        <v>33453.55</v>
      </c>
      <c r="I24" s="133">
        <f>$I$12*0.19</f>
        <v>0</v>
      </c>
      <c r="J24" s="134">
        <f t="shared" si="0"/>
        <v>33453.55</v>
      </c>
    </row>
    <row r="25" spans="1:10" ht="26.25" customHeight="1">
      <c r="A25" s="22"/>
      <c r="B25" s="226" t="s">
        <v>15</v>
      </c>
      <c r="C25" s="226"/>
      <c r="D25" s="226"/>
      <c r="E25" s="98" t="s">
        <v>36</v>
      </c>
      <c r="F25" s="102" t="s">
        <v>158</v>
      </c>
      <c r="G25" s="47">
        <v>0.38</v>
      </c>
      <c r="H25" s="132">
        <f t="shared" si="1"/>
        <v>6798.05</v>
      </c>
      <c r="I25" s="133">
        <v>0</v>
      </c>
      <c r="J25" s="134">
        <f t="shared" si="0"/>
        <v>6798.05</v>
      </c>
    </row>
    <row r="26" spans="1:10" ht="30" customHeight="1">
      <c r="A26" s="22"/>
      <c r="B26" s="236" t="s">
        <v>37</v>
      </c>
      <c r="C26" s="233"/>
      <c r="D26" s="234"/>
      <c r="E26" s="98" t="s">
        <v>36</v>
      </c>
      <c r="F26" s="102" t="s">
        <v>158</v>
      </c>
      <c r="G26" s="50">
        <f>2.97-G27-G28</f>
        <v>2.72</v>
      </c>
      <c r="H26" s="132">
        <f t="shared" si="1"/>
        <v>48659.71</v>
      </c>
      <c r="I26" s="133">
        <f>$I$12*(0.18+0.02)</f>
        <v>0</v>
      </c>
      <c r="J26" s="134">
        <f t="shared" si="0"/>
        <v>48659.71</v>
      </c>
    </row>
    <row r="27" spans="1:10" ht="26.25" customHeight="1">
      <c r="A27" s="97"/>
      <c r="B27" s="227" t="s">
        <v>159</v>
      </c>
      <c r="C27" s="227"/>
      <c r="D27" s="227"/>
      <c r="E27" s="98" t="s">
        <v>36</v>
      </c>
      <c r="F27" s="102" t="s">
        <v>158</v>
      </c>
      <c r="G27" s="50">
        <v>0.25</v>
      </c>
      <c r="H27" s="132">
        <f t="shared" si="1"/>
        <v>4472.4</v>
      </c>
      <c r="I27" s="133">
        <f>$I$12*0.02</f>
        <v>0</v>
      </c>
      <c r="J27" s="134">
        <f t="shared" si="0"/>
        <v>4472.4</v>
      </c>
    </row>
    <row r="28" spans="1:10" ht="17.25" customHeight="1">
      <c r="A28" s="22"/>
      <c r="B28" s="227" t="s">
        <v>160</v>
      </c>
      <c r="C28" s="227"/>
      <c r="D28" s="227"/>
      <c r="E28" s="99" t="s">
        <v>9</v>
      </c>
      <c r="F28" s="102" t="s">
        <v>158</v>
      </c>
      <c r="G28" s="50">
        <v>0</v>
      </c>
      <c r="H28" s="132">
        <f t="shared" si="1"/>
        <v>0</v>
      </c>
      <c r="I28" s="133">
        <f>$I$12*0.02</f>
        <v>0</v>
      </c>
      <c r="J28" s="134">
        <f t="shared" si="0"/>
        <v>0</v>
      </c>
    </row>
    <row r="29" spans="1:10" ht="17.25" customHeight="1">
      <c r="A29" s="22"/>
      <c r="B29" s="235" t="s">
        <v>21</v>
      </c>
      <c r="C29" s="235"/>
      <c r="D29" s="235"/>
      <c r="E29" s="99" t="s">
        <v>9</v>
      </c>
      <c r="F29" s="102" t="s">
        <v>158</v>
      </c>
      <c r="G29" s="45">
        <v>0.92</v>
      </c>
      <c r="H29" s="132">
        <f t="shared" si="1"/>
        <v>16458.43</v>
      </c>
      <c r="I29" s="133">
        <f>$I$12*0.1</f>
        <v>0</v>
      </c>
      <c r="J29" s="134">
        <f t="shared" si="0"/>
        <v>16458.43</v>
      </c>
    </row>
    <row r="30" spans="1:10" ht="21.75" customHeight="1">
      <c r="A30" s="22"/>
      <c r="B30" s="237" t="s">
        <v>161</v>
      </c>
      <c r="C30" s="238"/>
      <c r="D30" s="239"/>
      <c r="E30" s="99" t="s">
        <v>9</v>
      </c>
      <c r="F30" s="102"/>
      <c r="G30" s="45"/>
      <c r="H30" s="132"/>
      <c r="I30" s="133"/>
      <c r="J30" s="135"/>
    </row>
    <row r="31" spans="1:10" ht="27.75" customHeight="1">
      <c r="A31" s="22"/>
      <c r="B31" s="237" t="s">
        <v>162</v>
      </c>
      <c r="C31" s="238"/>
      <c r="D31" s="239"/>
      <c r="E31" s="98" t="s">
        <v>36</v>
      </c>
      <c r="F31" s="102"/>
      <c r="G31" s="45"/>
      <c r="H31" s="132"/>
      <c r="I31" s="133"/>
      <c r="J31" s="135"/>
    </row>
    <row r="32" spans="1:10" ht="15.75">
      <c r="A32" s="22"/>
      <c r="B32" s="232"/>
      <c r="C32" s="233"/>
      <c r="D32" s="234"/>
      <c r="E32" s="99"/>
      <c r="F32" s="102"/>
      <c r="G32" s="45"/>
      <c r="H32" s="132"/>
      <c r="I32" s="133"/>
      <c r="J32" s="135"/>
    </row>
    <row r="33" spans="1:10" ht="15.75">
      <c r="A33" s="22"/>
      <c r="B33" s="232"/>
      <c r="C33" s="233"/>
      <c r="D33" s="234"/>
      <c r="E33" s="99"/>
      <c r="F33" s="102"/>
      <c r="G33" s="45"/>
      <c r="H33" s="132"/>
      <c r="I33" s="133"/>
      <c r="J33" s="135"/>
    </row>
    <row r="34" spans="1:10" ht="15.75">
      <c r="A34" s="22"/>
      <c r="B34" s="213" t="s">
        <v>30</v>
      </c>
      <c r="C34" s="213"/>
      <c r="D34" s="213"/>
      <c r="E34" s="14"/>
      <c r="F34" s="102"/>
      <c r="G34" s="20">
        <f>SUM(G17:G29)</f>
        <v>8.28</v>
      </c>
      <c r="H34" s="136">
        <f>SUM(H17:H33)</f>
        <v>151250.24</v>
      </c>
      <c r="I34" s="125">
        <f>SUM(I17:I33)</f>
        <v>0</v>
      </c>
      <c r="J34" s="136">
        <f>SUM(J17:J33)</f>
        <v>151250.24</v>
      </c>
    </row>
    <row r="35" spans="1:10" ht="15" customHeight="1">
      <c r="A35" s="22" t="s">
        <v>139</v>
      </c>
      <c r="B35" s="228" t="s">
        <v>163</v>
      </c>
      <c r="C35" s="229"/>
      <c r="D35" s="229"/>
      <c r="E35" s="230"/>
      <c r="F35" s="102" t="s">
        <v>158</v>
      </c>
      <c r="G35" s="23">
        <f>H35/E3/12</f>
        <v>2.727841874608711</v>
      </c>
      <c r="H35" s="125">
        <v>48800</v>
      </c>
      <c r="I35" s="134">
        <v>0</v>
      </c>
      <c r="J35" s="124">
        <f t="shared" si="0"/>
        <v>48800</v>
      </c>
    </row>
    <row r="36" spans="1:10" ht="14.25" customHeight="1">
      <c r="A36" s="25"/>
      <c r="B36" s="231" t="s">
        <v>70</v>
      </c>
      <c r="C36" s="231"/>
      <c r="D36" s="231"/>
      <c r="E36" s="231"/>
      <c r="F36" s="231"/>
      <c r="G36" s="20">
        <f>SUM(G34:G35)</f>
        <v>11.00784187460871</v>
      </c>
      <c r="H36" s="137">
        <f>SUM(H34:H35)</f>
        <v>200050.24</v>
      </c>
      <c r="I36" s="138">
        <f>SUM(I34:I35)</f>
        <v>0</v>
      </c>
      <c r="J36" s="137">
        <f>SUM(J34:J35)</f>
        <v>200050.24</v>
      </c>
    </row>
    <row r="37" spans="1:10" ht="15.75">
      <c r="A37" s="22" t="s">
        <v>140</v>
      </c>
      <c r="B37" s="240" t="s">
        <v>164</v>
      </c>
      <c r="C37" s="240"/>
      <c r="D37" s="240"/>
      <c r="E37" s="240"/>
      <c r="F37" s="240"/>
      <c r="G37" s="23"/>
      <c r="H37" s="138">
        <v>0</v>
      </c>
      <c r="I37" s="138">
        <v>0</v>
      </c>
      <c r="J37" s="135">
        <f t="shared" si="0"/>
        <v>0</v>
      </c>
    </row>
    <row r="38" spans="1:10" ht="24.75" customHeight="1">
      <c r="A38" s="25"/>
      <c r="B38" s="231" t="s">
        <v>165</v>
      </c>
      <c r="C38" s="231"/>
      <c r="D38" s="231"/>
      <c r="E38" s="231"/>
      <c r="F38" s="231"/>
      <c r="G38" s="20">
        <f>SUM(G36:G37)</f>
        <v>11.00784187460871</v>
      </c>
      <c r="H38" s="137">
        <f>SUM(H36:H37)</f>
        <v>200050.24</v>
      </c>
      <c r="I38" s="138">
        <f>SUM(I36:I37)</f>
        <v>0</v>
      </c>
      <c r="J38" s="137">
        <f>SUM(J36:J37)</f>
        <v>200050.24</v>
      </c>
    </row>
    <row r="39" spans="1:10" ht="27" customHeight="1">
      <c r="A39" s="22">
        <v>3</v>
      </c>
      <c r="B39" s="205" t="s">
        <v>166</v>
      </c>
      <c r="C39" s="206"/>
      <c r="D39" s="206"/>
      <c r="E39" s="206"/>
      <c r="F39" s="206"/>
      <c r="G39" s="207"/>
      <c r="H39" s="132">
        <f>H14-H38</f>
        <v>-44014.20999999999</v>
      </c>
      <c r="I39" s="132">
        <f>I14-I38</f>
        <v>0</v>
      </c>
      <c r="J39" s="125">
        <f>J14-J38</f>
        <v>-44014.20999999999</v>
      </c>
    </row>
    <row r="40" spans="2:6" ht="15.75">
      <c r="B40" s="33"/>
      <c r="F40" s="33"/>
    </row>
    <row r="41" spans="2:9" ht="36" customHeight="1">
      <c r="B41" s="204" t="s">
        <v>167</v>
      </c>
      <c r="C41" s="204"/>
      <c r="D41" s="204"/>
      <c r="E41" s="204"/>
      <c r="F41" s="204"/>
      <c r="G41" s="204"/>
      <c r="H41" s="204"/>
      <c r="I41" s="204"/>
    </row>
    <row r="42" spans="2:4" ht="25.5" customHeight="1">
      <c r="B42" s="33"/>
      <c r="C42" s="33"/>
      <c r="D42" s="33"/>
    </row>
    <row r="43" spans="2:4" ht="15.75">
      <c r="B43" s="43" t="s">
        <v>72</v>
      </c>
      <c r="C43" s="43"/>
      <c r="D43" s="43"/>
    </row>
    <row r="44" spans="2:9" ht="34.5" customHeight="1">
      <c r="B44" s="33" t="s">
        <v>211</v>
      </c>
      <c r="C44" s="49"/>
      <c r="D44" s="49"/>
      <c r="E44" s="49"/>
      <c r="F44" s="49"/>
      <c r="G44" s="49"/>
      <c r="H44" s="49"/>
      <c r="I44" s="33"/>
    </row>
    <row r="45" spans="2:4" ht="15.75" customHeight="1">
      <c r="B45" s="196" t="s">
        <v>75</v>
      </c>
      <c r="C45" s="196"/>
      <c r="D45" s="196"/>
    </row>
  </sheetData>
  <sheetProtection/>
  <mergeCells count="37">
    <mergeCell ref="B45:D45"/>
    <mergeCell ref="B37:F37"/>
    <mergeCell ref="B38:F38"/>
    <mergeCell ref="B39:G39"/>
    <mergeCell ref="B41:I41"/>
    <mergeCell ref="B29:D29"/>
    <mergeCell ref="B30:D30"/>
    <mergeCell ref="B31:D31"/>
    <mergeCell ref="B32:D32"/>
    <mergeCell ref="B35:E35"/>
    <mergeCell ref="B36:F36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7" t="s">
        <v>212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141</v>
      </c>
      <c r="B2" s="1" t="s">
        <v>84</v>
      </c>
      <c r="C2" s="2"/>
      <c r="D2" s="2" t="s">
        <v>0</v>
      </c>
      <c r="E2" s="26">
        <v>1490.8</v>
      </c>
      <c r="F2" s="2"/>
    </row>
    <row r="3" spans="2:6" ht="15.75">
      <c r="B3" s="3" t="s">
        <v>1</v>
      </c>
      <c r="C3" s="44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80" t="s">
        <v>55</v>
      </c>
      <c r="B6" s="241" t="s">
        <v>144</v>
      </c>
      <c r="C6" s="242"/>
      <c r="D6" s="243"/>
      <c r="E6" s="81" t="s">
        <v>6</v>
      </c>
      <c r="F6" s="81" t="s">
        <v>7</v>
      </c>
      <c r="G6" s="105" t="s">
        <v>198</v>
      </c>
      <c r="H6" s="106" t="s">
        <v>134</v>
      </c>
    </row>
    <row r="7" spans="1:8" ht="15.75" customHeight="1">
      <c r="A7" s="82">
        <v>1</v>
      </c>
      <c r="B7" s="244" t="s">
        <v>135</v>
      </c>
      <c r="C7" s="244"/>
      <c r="D7" s="244"/>
      <c r="E7" s="244"/>
      <c r="F7" s="244"/>
      <c r="G7" s="83"/>
      <c r="H7" s="107"/>
    </row>
    <row r="8" spans="1:8" ht="33.75" customHeight="1">
      <c r="A8" s="82"/>
      <c r="B8" s="193" t="s">
        <v>199</v>
      </c>
      <c r="C8" s="193"/>
      <c r="D8" s="193"/>
      <c r="E8" s="193"/>
      <c r="F8" s="193"/>
      <c r="G8" s="23">
        <f>G30</f>
        <v>10.580000000000002</v>
      </c>
      <c r="H8" s="84">
        <f>ROUND(E2*G8*12,2)</f>
        <v>189271.97</v>
      </c>
    </row>
    <row r="9" spans="1:8" ht="15.75" customHeight="1">
      <c r="A9" s="82"/>
      <c r="B9" s="248" t="s">
        <v>136</v>
      </c>
      <c r="C9" s="248"/>
      <c r="D9" s="248"/>
      <c r="E9" s="248"/>
      <c r="F9" s="248"/>
      <c r="G9" s="22">
        <v>0.76</v>
      </c>
      <c r="H9" s="107">
        <f>ROUND($E$2*G9*12,0)</f>
        <v>13596</v>
      </c>
    </row>
    <row r="10" spans="1:8" ht="18.75" customHeight="1">
      <c r="A10" s="82">
        <v>2</v>
      </c>
      <c r="B10" s="215" t="s">
        <v>68</v>
      </c>
      <c r="C10" s="215"/>
      <c r="D10" s="215"/>
      <c r="E10" s="215"/>
      <c r="F10" s="215"/>
      <c r="G10" s="45"/>
      <c r="H10" s="107"/>
    </row>
    <row r="11" spans="1:8" ht="15.75" customHeight="1">
      <c r="A11" s="82"/>
      <c r="B11" s="18" t="s">
        <v>69</v>
      </c>
      <c r="C11" s="18"/>
      <c r="D11" s="18"/>
      <c r="E11" s="18"/>
      <c r="F11" s="5"/>
      <c r="G11" s="94"/>
      <c r="H11" s="107"/>
    </row>
    <row r="12" spans="1:8" ht="32.25" customHeight="1">
      <c r="A12" s="108"/>
      <c r="B12" s="247" t="s">
        <v>213</v>
      </c>
      <c r="C12" s="247"/>
      <c r="D12" s="247"/>
      <c r="E12" s="98" t="s">
        <v>32</v>
      </c>
      <c r="F12" s="85" t="s">
        <v>24</v>
      </c>
      <c r="G12" s="47">
        <v>1.06</v>
      </c>
      <c r="H12" s="84">
        <f aca="true" t="shared" si="0" ref="H12:H30">ROUND($E$2*G12*12,0)</f>
        <v>18963</v>
      </c>
    </row>
    <row r="13" spans="1:8" ht="18.75" customHeight="1">
      <c r="A13" s="108"/>
      <c r="B13" s="247" t="s">
        <v>17</v>
      </c>
      <c r="C13" s="247"/>
      <c r="D13" s="247"/>
      <c r="E13" s="98" t="s">
        <v>32</v>
      </c>
      <c r="F13" s="85" t="s">
        <v>19</v>
      </c>
      <c r="G13" s="47">
        <v>0.28</v>
      </c>
      <c r="H13" s="84">
        <f t="shared" si="0"/>
        <v>5009</v>
      </c>
    </row>
    <row r="14" spans="1:8" ht="18.75" customHeight="1">
      <c r="A14" s="108"/>
      <c r="B14" s="245" t="s">
        <v>23</v>
      </c>
      <c r="C14" s="245"/>
      <c r="D14" s="245"/>
      <c r="E14" s="99" t="s">
        <v>155</v>
      </c>
      <c r="F14" s="46" t="s">
        <v>20</v>
      </c>
      <c r="G14" s="47">
        <v>0.39</v>
      </c>
      <c r="H14" s="84">
        <f t="shared" si="0"/>
        <v>6977</v>
      </c>
    </row>
    <row r="15" spans="1:8" ht="15.75" customHeight="1">
      <c r="A15" s="108"/>
      <c r="B15" s="246" t="s">
        <v>31</v>
      </c>
      <c r="C15" s="246"/>
      <c r="D15" s="246"/>
      <c r="E15" s="100" t="s">
        <v>9</v>
      </c>
      <c r="F15" s="86" t="s">
        <v>10</v>
      </c>
      <c r="G15" s="47">
        <v>0.51</v>
      </c>
      <c r="H15" s="84">
        <f t="shared" si="0"/>
        <v>9124</v>
      </c>
    </row>
    <row r="16" spans="1:8" ht="51.75" customHeight="1">
      <c r="A16" s="108"/>
      <c r="B16" s="245" t="s">
        <v>27</v>
      </c>
      <c r="C16" s="245"/>
      <c r="D16" s="245"/>
      <c r="E16" s="99" t="s">
        <v>156</v>
      </c>
      <c r="F16" s="46" t="s">
        <v>25</v>
      </c>
      <c r="G16" s="47">
        <v>0.12</v>
      </c>
      <c r="H16" s="84">
        <f t="shared" si="0"/>
        <v>2147</v>
      </c>
    </row>
    <row r="17" spans="1:8" ht="34.5" customHeight="1">
      <c r="A17" s="108"/>
      <c r="B17" s="245" t="s">
        <v>11</v>
      </c>
      <c r="C17" s="245"/>
      <c r="D17" s="245"/>
      <c r="E17" s="99" t="s">
        <v>9</v>
      </c>
      <c r="F17" s="46" t="s">
        <v>12</v>
      </c>
      <c r="G17" s="47">
        <v>0</v>
      </c>
      <c r="H17" s="84">
        <f t="shared" si="0"/>
        <v>0</v>
      </c>
    </row>
    <row r="18" spans="1:8" ht="30.75" customHeight="1">
      <c r="A18" s="108"/>
      <c r="B18" s="245" t="s">
        <v>26</v>
      </c>
      <c r="C18" s="249"/>
      <c r="D18" s="249"/>
      <c r="E18" s="101" t="s">
        <v>13</v>
      </c>
      <c r="F18" s="45" t="s">
        <v>200</v>
      </c>
      <c r="G18" s="47">
        <v>0.05</v>
      </c>
      <c r="H18" s="84">
        <f t="shared" si="0"/>
        <v>894</v>
      </c>
    </row>
    <row r="19" spans="1:8" ht="30" customHeight="1">
      <c r="A19" s="108"/>
      <c r="B19" s="245" t="s">
        <v>157</v>
      </c>
      <c r="C19" s="245"/>
      <c r="D19" s="245"/>
      <c r="E19" s="98" t="s">
        <v>36</v>
      </c>
      <c r="F19" s="46" t="s">
        <v>158</v>
      </c>
      <c r="G19" s="47">
        <v>2.15</v>
      </c>
      <c r="H19" s="84">
        <f t="shared" si="0"/>
        <v>38463</v>
      </c>
    </row>
    <row r="20" spans="1:8" ht="52.5" customHeight="1">
      <c r="A20" s="108"/>
      <c r="B20" s="247" t="s">
        <v>15</v>
      </c>
      <c r="C20" s="247"/>
      <c r="D20" s="247"/>
      <c r="E20" s="98" t="s">
        <v>137</v>
      </c>
      <c r="F20" s="46" t="s">
        <v>158</v>
      </c>
      <c r="G20" s="47">
        <v>0.44</v>
      </c>
      <c r="H20" s="84">
        <f t="shared" si="0"/>
        <v>7871</v>
      </c>
    </row>
    <row r="21" spans="1:8" ht="30.75" customHeight="1">
      <c r="A21" s="108"/>
      <c r="B21" s="245" t="s">
        <v>37</v>
      </c>
      <c r="C21" s="249"/>
      <c r="D21" s="249"/>
      <c r="E21" s="98" t="s">
        <v>36</v>
      </c>
      <c r="F21" s="46" t="s">
        <v>158</v>
      </c>
      <c r="G21" s="47">
        <f>3.46-G22-G23</f>
        <v>3.17</v>
      </c>
      <c r="H21" s="84">
        <f t="shared" si="0"/>
        <v>56710</v>
      </c>
    </row>
    <row r="22" spans="1:8" ht="16.5" customHeight="1">
      <c r="A22" s="108"/>
      <c r="B22" s="245" t="s">
        <v>201</v>
      </c>
      <c r="C22" s="245"/>
      <c r="D22" s="245"/>
      <c r="E22" s="99" t="s">
        <v>9</v>
      </c>
      <c r="F22" s="46" t="s">
        <v>158</v>
      </c>
      <c r="G22" s="47">
        <v>0.29</v>
      </c>
      <c r="H22" s="120">
        <f t="shared" si="0"/>
        <v>5188</v>
      </c>
    </row>
    <row r="23" spans="1:8" ht="22.5" customHeight="1">
      <c r="A23" s="108"/>
      <c r="B23" s="245" t="s">
        <v>160</v>
      </c>
      <c r="C23" s="245"/>
      <c r="D23" s="245"/>
      <c r="E23" s="99" t="s">
        <v>9</v>
      </c>
      <c r="F23" s="46" t="s">
        <v>158</v>
      </c>
      <c r="G23" s="47">
        <v>0</v>
      </c>
      <c r="H23" s="120">
        <f t="shared" si="0"/>
        <v>0</v>
      </c>
    </row>
    <row r="24" spans="1:8" ht="24" customHeight="1">
      <c r="A24" s="108"/>
      <c r="B24" s="249" t="s">
        <v>21</v>
      </c>
      <c r="C24" s="249"/>
      <c r="D24" s="249"/>
      <c r="E24" s="98" t="s">
        <v>36</v>
      </c>
      <c r="F24" s="46" t="s">
        <v>158</v>
      </c>
      <c r="G24" s="47">
        <v>1.06</v>
      </c>
      <c r="H24" s="84">
        <f t="shared" si="0"/>
        <v>18963</v>
      </c>
    </row>
    <row r="25" spans="1:8" ht="15.75">
      <c r="A25" s="22"/>
      <c r="B25" s="237" t="s">
        <v>161</v>
      </c>
      <c r="C25" s="238"/>
      <c r="D25" s="239"/>
      <c r="E25" s="99" t="s">
        <v>9</v>
      </c>
      <c r="F25" s="46"/>
      <c r="G25" s="47"/>
      <c r="H25" s="84"/>
    </row>
    <row r="26" spans="1:8" ht="12.75" customHeight="1">
      <c r="A26" s="22"/>
      <c r="B26" s="237" t="s">
        <v>162</v>
      </c>
      <c r="C26" s="238"/>
      <c r="D26" s="239"/>
      <c r="E26" s="98" t="s">
        <v>36</v>
      </c>
      <c r="F26" s="46"/>
      <c r="G26" s="47"/>
      <c r="H26" s="84"/>
    </row>
    <row r="27" spans="1:8" ht="15.75">
      <c r="A27" s="108"/>
      <c r="B27" s="232"/>
      <c r="C27" s="233"/>
      <c r="D27" s="234"/>
      <c r="E27" s="98"/>
      <c r="F27" s="46"/>
      <c r="G27" s="47"/>
      <c r="H27" s="84"/>
    </row>
    <row r="28" spans="1:8" ht="20.25" customHeight="1">
      <c r="A28" s="108"/>
      <c r="B28" s="250" t="s">
        <v>30</v>
      </c>
      <c r="C28" s="251"/>
      <c r="D28" s="252"/>
      <c r="E28" s="14"/>
      <c r="F28" s="46"/>
      <c r="G28" s="20">
        <f>SUM(G12:G27)</f>
        <v>9.520000000000001</v>
      </c>
      <c r="H28" s="84">
        <f t="shared" si="0"/>
        <v>170309</v>
      </c>
    </row>
    <row r="29" spans="1:8" ht="15.75" customHeight="1">
      <c r="A29" s="82" t="s">
        <v>139</v>
      </c>
      <c r="B29" s="228" t="s">
        <v>202</v>
      </c>
      <c r="C29" s="229"/>
      <c r="D29" s="229"/>
      <c r="E29" s="230"/>
      <c r="F29" s="52" t="s">
        <v>203</v>
      </c>
      <c r="G29" s="23">
        <v>1.06</v>
      </c>
      <c r="H29" s="84">
        <f t="shared" si="0"/>
        <v>18963</v>
      </c>
    </row>
    <row r="30" spans="1:8" ht="15.75" customHeight="1">
      <c r="A30" s="82"/>
      <c r="B30" s="253" t="s">
        <v>204</v>
      </c>
      <c r="C30" s="253"/>
      <c r="D30" s="253"/>
      <c r="E30" s="253"/>
      <c r="F30" s="253"/>
      <c r="G30" s="20">
        <f>SUM(G28:G29)</f>
        <v>10.580000000000002</v>
      </c>
      <c r="H30" s="109">
        <f t="shared" si="0"/>
        <v>189272</v>
      </c>
    </row>
    <row r="31" spans="1:8" ht="15.75" customHeight="1" thickBot="1">
      <c r="A31" s="110">
        <v>3</v>
      </c>
      <c r="B31" s="254" t="s">
        <v>205</v>
      </c>
      <c r="C31" s="255"/>
      <c r="D31" s="256"/>
      <c r="E31" s="111"/>
      <c r="F31" s="112" t="s">
        <v>203</v>
      </c>
      <c r="G31" s="87">
        <v>0.76</v>
      </c>
      <c r="H31" s="113">
        <f>ROUND($E$2*G31*12,0)</f>
        <v>13596</v>
      </c>
    </row>
    <row r="32" spans="1:8" ht="15.75" customHeight="1">
      <c r="A32" s="114"/>
      <c r="B32" s="115"/>
      <c r="C32" s="115"/>
      <c r="D32" s="115"/>
      <c r="E32" s="115"/>
      <c r="F32" s="116"/>
      <c r="G32" s="88"/>
      <c r="H32" s="117"/>
    </row>
    <row r="33" spans="1:9" ht="18.75" customHeight="1">
      <c r="A33" s="118" t="s">
        <v>206</v>
      </c>
      <c r="B33" s="118"/>
      <c r="C33" s="118"/>
      <c r="D33" s="118"/>
      <c r="E33" s="118"/>
      <c r="F33" s="118"/>
      <c r="G33" s="118"/>
      <c r="H33" s="118"/>
      <c r="I33" s="118"/>
    </row>
    <row r="34" spans="1:8" ht="15.75">
      <c r="A34" s="204" t="s">
        <v>207</v>
      </c>
      <c r="B34" s="204"/>
      <c r="C34" s="204"/>
      <c r="D34" s="204"/>
      <c r="E34" s="204"/>
      <c r="F34" s="204"/>
      <c r="G34" s="204"/>
      <c r="H34" s="204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208</v>
      </c>
    </row>
    <row r="37" spans="2:4" ht="15.75" customHeight="1">
      <c r="B37" s="119"/>
      <c r="C37" s="119"/>
      <c r="D37" s="119"/>
    </row>
  </sheetData>
  <sheetProtection/>
  <mergeCells count="27">
    <mergeCell ref="A34:H34"/>
    <mergeCell ref="B28:D28"/>
    <mergeCell ref="B29:E29"/>
    <mergeCell ref="B30:F30"/>
    <mergeCell ref="B31:D31"/>
    <mergeCell ref="B27:D27"/>
    <mergeCell ref="B21:D21"/>
    <mergeCell ref="B22:D22"/>
    <mergeCell ref="B23:D23"/>
    <mergeCell ref="B24:D24"/>
    <mergeCell ref="B25:D25"/>
    <mergeCell ref="B26:D26"/>
    <mergeCell ref="B20:D20"/>
    <mergeCell ref="B8:F8"/>
    <mergeCell ref="B9:F9"/>
    <mergeCell ref="B10:F10"/>
    <mergeCell ref="B16:D16"/>
    <mergeCell ref="B17:D17"/>
    <mergeCell ref="B18:D18"/>
    <mergeCell ref="B12:D12"/>
    <mergeCell ref="B13:D13"/>
    <mergeCell ref="B14:D14"/>
    <mergeCell ref="A1:H1"/>
    <mergeCell ref="B6:D6"/>
    <mergeCell ref="B7:F7"/>
    <mergeCell ref="B19:D19"/>
    <mergeCell ref="B15:D15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13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7.375" style="0" bestFit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217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218" t="s">
        <v>218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18.75">
      <c r="A3" s="1" t="s">
        <v>141</v>
      </c>
      <c r="B3" s="1" t="s">
        <v>84</v>
      </c>
      <c r="C3" s="2"/>
      <c r="D3" s="2" t="s">
        <v>0</v>
      </c>
      <c r="E3" s="26">
        <v>1490.8</v>
      </c>
      <c r="F3" s="2"/>
      <c r="H3" s="89"/>
      <c r="I3" s="89"/>
    </row>
    <row r="4" spans="2:8" ht="15.75">
      <c r="B4" s="3" t="s">
        <v>1</v>
      </c>
      <c r="C4" s="44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142</v>
      </c>
      <c r="I5" s="2"/>
    </row>
    <row r="6" spans="2:8" ht="15.75">
      <c r="B6" s="3"/>
      <c r="C6" s="4"/>
      <c r="D6" s="2" t="s">
        <v>5</v>
      </c>
      <c r="E6" s="2" t="s">
        <v>83</v>
      </c>
      <c r="F6" s="2"/>
      <c r="G6" s="2"/>
      <c r="H6" t="s">
        <v>143</v>
      </c>
    </row>
    <row r="7" spans="1:10" ht="39" customHeight="1">
      <c r="A7" s="21" t="s">
        <v>55</v>
      </c>
      <c r="B7" s="219" t="s">
        <v>144</v>
      </c>
      <c r="C7" s="220"/>
      <c r="D7" s="221"/>
      <c r="E7" s="11" t="s">
        <v>6</v>
      </c>
      <c r="F7" s="11" t="s">
        <v>7</v>
      </c>
      <c r="G7" s="90" t="s">
        <v>22</v>
      </c>
      <c r="H7" s="222" t="s">
        <v>145</v>
      </c>
      <c r="I7" s="223"/>
      <c r="J7" s="224"/>
    </row>
    <row r="8" spans="1:10" ht="15.75">
      <c r="A8" s="22">
        <v>1</v>
      </c>
      <c r="B8" s="152"/>
      <c r="C8" s="216"/>
      <c r="D8" s="216"/>
      <c r="E8" s="216"/>
      <c r="F8" s="217"/>
      <c r="G8" s="91"/>
      <c r="H8" s="92" t="s">
        <v>146</v>
      </c>
      <c r="I8" s="93" t="s">
        <v>147</v>
      </c>
      <c r="J8" s="93" t="s">
        <v>148</v>
      </c>
    </row>
    <row r="9" spans="1:10" ht="15.75">
      <c r="A9" s="22"/>
      <c r="B9" s="152" t="s">
        <v>149</v>
      </c>
      <c r="C9" s="216"/>
      <c r="D9" s="216"/>
      <c r="E9" s="216"/>
      <c r="F9" s="217"/>
      <c r="G9" s="94"/>
      <c r="H9" s="94"/>
      <c r="I9" s="59"/>
      <c r="J9" s="93"/>
    </row>
    <row r="10" spans="1:10" ht="15.75" customHeight="1">
      <c r="A10" s="95"/>
      <c r="B10" s="191" t="s">
        <v>150</v>
      </c>
      <c r="C10" s="191"/>
      <c r="D10" s="191"/>
      <c r="E10" s="191"/>
      <c r="F10" s="191"/>
      <c r="G10" s="15"/>
      <c r="H10" s="121">
        <v>176556.75</v>
      </c>
      <c r="I10" s="123"/>
      <c r="J10" s="121">
        <f>H10+I10</f>
        <v>176556.75</v>
      </c>
    </row>
    <row r="11" spans="1:10" ht="15.75" customHeight="1">
      <c r="A11" s="95"/>
      <c r="B11" s="191" t="s">
        <v>151</v>
      </c>
      <c r="C11" s="191"/>
      <c r="D11" s="191"/>
      <c r="E11" s="191"/>
      <c r="F11" s="191"/>
      <c r="G11" s="15"/>
      <c r="H11" s="121">
        <v>11350.78</v>
      </c>
      <c r="I11" s="123"/>
      <c r="J11" s="121">
        <f>H11+I11</f>
        <v>11350.78</v>
      </c>
    </row>
    <row r="12" spans="1:10" ht="15.75" customHeight="1">
      <c r="A12" s="22"/>
      <c r="B12" s="191" t="s">
        <v>152</v>
      </c>
      <c r="C12" s="191"/>
      <c r="D12" s="191"/>
      <c r="E12" s="191"/>
      <c r="F12" s="191"/>
      <c r="G12" s="15"/>
      <c r="H12" s="121"/>
      <c r="I12" s="123">
        <v>0</v>
      </c>
      <c r="J12" s="121">
        <f>H12+I12</f>
        <v>0</v>
      </c>
    </row>
    <row r="13" spans="1:10" ht="15.75">
      <c r="A13" s="22"/>
      <c r="B13" s="191" t="s">
        <v>153</v>
      </c>
      <c r="C13" s="191"/>
      <c r="D13" s="191"/>
      <c r="E13" s="191"/>
      <c r="F13" s="191"/>
      <c r="G13" s="15"/>
      <c r="H13" s="123">
        <v>0</v>
      </c>
      <c r="I13" s="123">
        <v>0</v>
      </c>
      <c r="J13" s="121">
        <f>H13+I13</f>
        <v>0</v>
      </c>
    </row>
    <row r="14" spans="1:10" ht="15.75" customHeight="1">
      <c r="A14" s="22"/>
      <c r="B14" s="193" t="s">
        <v>154</v>
      </c>
      <c r="C14" s="193"/>
      <c r="D14" s="193"/>
      <c r="E14" s="193"/>
      <c r="F14" s="193"/>
      <c r="G14" s="15"/>
      <c r="H14" s="124">
        <f>SUM(H10:H13)</f>
        <v>187907.53</v>
      </c>
      <c r="I14" s="124">
        <f>SUM(I10:I13)</f>
        <v>0</v>
      </c>
      <c r="J14" s="124">
        <f>SUM(J10:J13)</f>
        <v>187907.53</v>
      </c>
    </row>
    <row r="15" spans="1:10" ht="18.75" customHeight="1">
      <c r="A15" s="22">
        <v>2</v>
      </c>
      <c r="B15" s="215" t="s">
        <v>68</v>
      </c>
      <c r="C15" s="215"/>
      <c r="D15" s="215"/>
      <c r="E15" s="215"/>
      <c r="F15" s="215"/>
      <c r="G15" s="15"/>
      <c r="H15" s="126"/>
      <c r="I15" s="127"/>
      <c r="J15" s="128"/>
    </row>
    <row r="16" spans="1:10" ht="15.75">
      <c r="A16" s="22" t="s">
        <v>138</v>
      </c>
      <c r="B16" s="18" t="s">
        <v>69</v>
      </c>
      <c r="C16" s="18"/>
      <c r="D16" s="18"/>
      <c r="E16" s="18"/>
      <c r="F16" s="5"/>
      <c r="G16" s="92"/>
      <c r="H16" s="129"/>
      <c r="I16" s="130"/>
      <c r="J16" s="131"/>
    </row>
    <row r="17" spans="1:10" ht="33.75" customHeight="1">
      <c r="A17" s="97"/>
      <c r="B17" s="225" t="s">
        <v>213</v>
      </c>
      <c r="C17" s="225"/>
      <c r="D17" s="225"/>
      <c r="E17" s="98" t="s">
        <v>32</v>
      </c>
      <c r="F17" s="85" t="s">
        <v>24</v>
      </c>
      <c r="G17" s="47">
        <v>1.06</v>
      </c>
      <c r="H17" s="132">
        <f>ROUND(G17*$E$3*12,2)</f>
        <v>18962.98</v>
      </c>
      <c r="I17" s="133">
        <f>$I$12*0.08</f>
        <v>0</v>
      </c>
      <c r="J17" s="134">
        <f>SUM(H17:I17)</f>
        <v>18962.98</v>
      </c>
    </row>
    <row r="18" spans="1:10" ht="17.25" customHeight="1">
      <c r="A18" s="22"/>
      <c r="B18" s="226" t="s">
        <v>17</v>
      </c>
      <c r="C18" s="226"/>
      <c r="D18" s="226"/>
      <c r="E18" s="98" t="s">
        <v>32</v>
      </c>
      <c r="F18" s="85" t="s">
        <v>19</v>
      </c>
      <c r="G18" s="47">
        <v>0.28</v>
      </c>
      <c r="H18" s="132">
        <f>ROUND(G18*$E$3*12,2)</f>
        <v>5009.09</v>
      </c>
      <c r="I18" s="133">
        <f>$I$12*0.02</f>
        <v>0</v>
      </c>
      <c r="J18" s="134">
        <f>SUM(H18:I18)</f>
        <v>5009.09</v>
      </c>
    </row>
    <row r="19" spans="1:10" ht="20.25" customHeight="1">
      <c r="A19" s="22"/>
      <c r="B19" s="227" t="s">
        <v>23</v>
      </c>
      <c r="C19" s="227"/>
      <c r="D19" s="227"/>
      <c r="E19" s="99" t="s">
        <v>155</v>
      </c>
      <c r="F19" s="46" t="s">
        <v>20</v>
      </c>
      <c r="G19" s="47">
        <v>0.39</v>
      </c>
      <c r="H19" s="132">
        <f>J19-I19</f>
        <v>6315.3</v>
      </c>
      <c r="I19" s="133">
        <f>$I$12*0.07</f>
        <v>0</v>
      </c>
      <c r="J19" s="134">
        <v>6315.3</v>
      </c>
    </row>
    <row r="20" spans="1:10" ht="20.25" customHeight="1">
      <c r="A20" s="97"/>
      <c r="B20" s="225" t="s">
        <v>31</v>
      </c>
      <c r="C20" s="225"/>
      <c r="D20" s="225"/>
      <c r="E20" s="100" t="s">
        <v>9</v>
      </c>
      <c r="F20" s="86" t="s">
        <v>10</v>
      </c>
      <c r="G20" s="47">
        <v>0.51</v>
      </c>
      <c r="H20" s="132">
        <f>ROUND(G20*$E$3*12,2)</f>
        <v>9123.7</v>
      </c>
      <c r="I20" s="133">
        <f>$I$12*0.04</f>
        <v>0</v>
      </c>
      <c r="J20" s="134">
        <f>SUM(H20:I20)</f>
        <v>9123.7</v>
      </c>
    </row>
    <row r="21" spans="1:10" ht="49.5" customHeight="1">
      <c r="A21" s="22"/>
      <c r="B21" s="227" t="s">
        <v>27</v>
      </c>
      <c r="C21" s="227"/>
      <c r="D21" s="227"/>
      <c r="E21" s="99" t="s">
        <v>156</v>
      </c>
      <c r="F21" s="46" t="s">
        <v>25</v>
      </c>
      <c r="G21" s="47">
        <v>0.12</v>
      </c>
      <c r="H21" s="132">
        <f>J21-I21</f>
        <v>3271.5</v>
      </c>
      <c r="I21" s="133">
        <f>$I$12*0.01</f>
        <v>0</v>
      </c>
      <c r="J21" s="134">
        <v>3271.5</v>
      </c>
    </row>
    <row r="22" spans="1:10" ht="20.25" customHeight="1">
      <c r="A22" s="97"/>
      <c r="B22" s="227" t="s">
        <v>11</v>
      </c>
      <c r="C22" s="227"/>
      <c r="D22" s="227"/>
      <c r="E22" s="99" t="s">
        <v>9</v>
      </c>
      <c r="F22" s="46" t="s">
        <v>12</v>
      </c>
      <c r="G22" s="47">
        <v>0</v>
      </c>
      <c r="H22" s="132">
        <f>J22-I22</f>
        <v>0</v>
      </c>
      <c r="I22" s="133">
        <f>$I$12*0.15</f>
        <v>0</v>
      </c>
      <c r="J22" s="134">
        <f>G22*E3*12</f>
        <v>0</v>
      </c>
    </row>
    <row r="23" spans="1:10" ht="20.25" customHeight="1">
      <c r="A23" s="97"/>
      <c r="B23" s="227" t="s">
        <v>26</v>
      </c>
      <c r="C23" s="235"/>
      <c r="D23" s="235"/>
      <c r="E23" s="101" t="s">
        <v>13</v>
      </c>
      <c r="F23" s="45" t="s">
        <v>14</v>
      </c>
      <c r="G23" s="47">
        <v>0.05</v>
      </c>
      <c r="H23" s="132">
        <f>J23-I23</f>
        <v>2049.7</v>
      </c>
      <c r="I23" s="133">
        <f>$I$12*0.003</f>
        <v>0</v>
      </c>
      <c r="J23" s="134">
        <v>2049.7</v>
      </c>
    </row>
    <row r="24" spans="1:10" ht="28.5" customHeight="1">
      <c r="A24" s="22"/>
      <c r="B24" s="227" t="s">
        <v>157</v>
      </c>
      <c r="C24" s="227"/>
      <c r="D24" s="227"/>
      <c r="E24" s="98" t="s">
        <v>36</v>
      </c>
      <c r="F24" s="102" t="s">
        <v>158</v>
      </c>
      <c r="G24" s="47">
        <v>2.15</v>
      </c>
      <c r="H24" s="132">
        <f aca="true" t="shared" si="0" ref="H24:H29">ROUND(G24*$E$3*12,2)</f>
        <v>38462.64</v>
      </c>
      <c r="I24" s="133">
        <f>$I$12*0.19</f>
        <v>0</v>
      </c>
      <c r="J24" s="134">
        <f aca="true" t="shared" si="1" ref="J24:J29">SUM(H24:I24)</f>
        <v>38462.64</v>
      </c>
    </row>
    <row r="25" spans="1:10" ht="26.25" customHeight="1">
      <c r="A25" s="22"/>
      <c r="B25" s="226" t="s">
        <v>15</v>
      </c>
      <c r="C25" s="226"/>
      <c r="D25" s="226"/>
      <c r="E25" s="98" t="s">
        <v>36</v>
      </c>
      <c r="F25" s="102" t="s">
        <v>158</v>
      </c>
      <c r="G25" s="47">
        <v>0.44</v>
      </c>
      <c r="H25" s="132">
        <f t="shared" si="0"/>
        <v>7871.42</v>
      </c>
      <c r="I25" s="133">
        <v>0</v>
      </c>
      <c r="J25" s="134">
        <f t="shared" si="1"/>
        <v>7871.42</v>
      </c>
    </row>
    <row r="26" spans="1:10" ht="30" customHeight="1">
      <c r="A26" s="22"/>
      <c r="B26" s="236" t="s">
        <v>37</v>
      </c>
      <c r="C26" s="233"/>
      <c r="D26" s="234"/>
      <c r="E26" s="98" t="s">
        <v>36</v>
      </c>
      <c r="F26" s="102" t="s">
        <v>158</v>
      </c>
      <c r="G26" s="50">
        <f>3.46-G27-G28</f>
        <v>3.17</v>
      </c>
      <c r="H26" s="132">
        <f t="shared" si="0"/>
        <v>56710.03</v>
      </c>
      <c r="I26" s="133">
        <f>$I$12*(0.18+0.02)</f>
        <v>0</v>
      </c>
      <c r="J26" s="134">
        <f t="shared" si="1"/>
        <v>56710.03</v>
      </c>
    </row>
    <row r="27" spans="1:10" ht="26.25" customHeight="1">
      <c r="A27" s="97"/>
      <c r="B27" s="227" t="s">
        <v>159</v>
      </c>
      <c r="C27" s="227"/>
      <c r="D27" s="227"/>
      <c r="E27" s="98" t="s">
        <v>36</v>
      </c>
      <c r="F27" s="102" t="s">
        <v>158</v>
      </c>
      <c r="G27" s="50">
        <v>0.29</v>
      </c>
      <c r="H27" s="132">
        <f t="shared" si="0"/>
        <v>5187.98</v>
      </c>
      <c r="I27" s="133">
        <f>$I$12*0.02</f>
        <v>0</v>
      </c>
      <c r="J27" s="134">
        <f t="shared" si="1"/>
        <v>5187.98</v>
      </c>
    </row>
    <row r="28" spans="1:10" ht="17.25" customHeight="1">
      <c r="A28" s="22"/>
      <c r="B28" s="227" t="s">
        <v>160</v>
      </c>
      <c r="C28" s="227"/>
      <c r="D28" s="227"/>
      <c r="E28" s="99" t="s">
        <v>9</v>
      </c>
      <c r="F28" s="102" t="s">
        <v>158</v>
      </c>
      <c r="G28" s="50">
        <v>0</v>
      </c>
      <c r="H28" s="132">
        <f t="shared" si="0"/>
        <v>0</v>
      </c>
      <c r="I28" s="133">
        <f>$I$12*0.02</f>
        <v>0</v>
      </c>
      <c r="J28" s="134">
        <f t="shared" si="1"/>
        <v>0</v>
      </c>
    </row>
    <row r="29" spans="1:10" ht="22.5" customHeight="1">
      <c r="A29" s="22"/>
      <c r="B29" s="235" t="s">
        <v>21</v>
      </c>
      <c r="C29" s="235"/>
      <c r="D29" s="235"/>
      <c r="E29" s="99" t="s">
        <v>36</v>
      </c>
      <c r="F29" s="102" t="s">
        <v>158</v>
      </c>
      <c r="G29" s="45">
        <v>1.06</v>
      </c>
      <c r="H29" s="132">
        <f t="shared" si="0"/>
        <v>18962.98</v>
      </c>
      <c r="I29" s="133">
        <f>$I$12*0.1</f>
        <v>0</v>
      </c>
      <c r="J29" s="134">
        <f t="shared" si="1"/>
        <v>18962.98</v>
      </c>
    </row>
    <row r="30" spans="1:10" ht="15.75">
      <c r="A30" s="22"/>
      <c r="B30" s="232"/>
      <c r="C30" s="233"/>
      <c r="D30" s="234"/>
      <c r="E30" s="99"/>
      <c r="F30" s="102"/>
      <c r="G30" s="45"/>
      <c r="H30" s="132"/>
      <c r="I30" s="133"/>
      <c r="J30" s="135"/>
    </row>
    <row r="31" spans="1:10" ht="15.75">
      <c r="A31" s="22"/>
      <c r="B31" s="232"/>
      <c r="C31" s="233"/>
      <c r="D31" s="234"/>
      <c r="E31" s="99"/>
      <c r="F31" s="102"/>
      <c r="G31" s="45"/>
      <c r="H31" s="132"/>
      <c r="I31" s="133"/>
      <c r="J31" s="135"/>
    </row>
    <row r="32" spans="1:10" ht="15.75">
      <c r="A32" s="22"/>
      <c r="B32" s="213" t="s">
        <v>30</v>
      </c>
      <c r="C32" s="213"/>
      <c r="D32" s="213"/>
      <c r="E32" s="14"/>
      <c r="F32" s="102"/>
      <c r="G32" s="20">
        <f>SUM(G17:G29)</f>
        <v>9.520000000000001</v>
      </c>
      <c r="H32" s="136">
        <f>SUM(H17:H31)</f>
        <v>171927.32</v>
      </c>
      <c r="I32" s="125">
        <f>SUM(I17:I31)</f>
        <v>0</v>
      </c>
      <c r="J32" s="136">
        <f>SUM(J17:J31)</f>
        <v>171927.32</v>
      </c>
    </row>
    <row r="33" spans="1:10" ht="21.75" customHeight="1">
      <c r="A33" s="22"/>
      <c r="B33" s="237" t="s">
        <v>161</v>
      </c>
      <c r="C33" s="238"/>
      <c r="D33" s="239"/>
      <c r="E33" s="99" t="s">
        <v>9</v>
      </c>
      <c r="F33" s="102"/>
      <c r="G33" s="45"/>
      <c r="H33" s="132"/>
      <c r="I33" s="133"/>
      <c r="J33" s="135"/>
    </row>
    <row r="34" spans="1:10" ht="27.75" customHeight="1">
      <c r="A34" s="22"/>
      <c r="B34" s="237" t="s">
        <v>162</v>
      </c>
      <c r="C34" s="238"/>
      <c r="D34" s="239"/>
      <c r="E34" s="98" t="s">
        <v>36</v>
      </c>
      <c r="F34" s="102"/>
      <c r="G34" s="45"/>
      <c r="H34" s="132"/>
      <c r="I34" s="133"/>
      <c r="J34" s="135"/>
    </row>
    <row r="35" spans="1:10" ht="15.75">
      <c r="A35" s="22"/>
      <c r="B35" s="232"/>
      <c r="C35" s="233"/>
      <c r="D35" s="234"/>
      <c r="E35" s="99"/>
      <c r="F35" s="102"/>
      <c r="G35" s="45"/>
      <c r="H35" s="132"/>
      <c r="I35" s="133"/>
      <c r="J35" s="135"/>
    </row>
    <row r="36" spans="1:10" ht="15" customHeight="1">
      <c r="A36" s="22" t="s">
        <v>139</v>
      </c>
      <c r="B36" s="228" t="s">
        <v>163</v>
      </c>
      <c r="C36" s="229"/>
      <c r="D36" s="229"/>
      <c r="E36" s="230"/>
      <c r="F36" s="102" t="s">
        <v>158</v>
      </c>
      <c r="G36" s="23">
        <f>H36/E3/12</f>
        <v>0.6120315714157947</v>
      </c>
      <c r="H36" s="125">
        <v>10949</v>
      </c>
      <c r="I36" s="134">
        <v>0</v>
      </c>
      <c r="J36" s="124">
        <f>SUM(H36:I36)</f>
        <v>10949</v>
      </c>
    </row>
    <row r="37" spans="1:10" ht="14.25" customHeight="1">
      <c r="A37" s="25"/>
      <c r="B37" s="231" t="s">
        <v>70</v>
      </c>
      <c r="C37" s="231"/>
      <c r="D37" s="231"/>
      <c r="E37" s="231"/>
      <c r="F37" s="231"/>
      <c r="G37" s="20">
        <f>SUM(G32:G36)</f>
        <v>10.132031571415796</v>
      </c>
      <c r="H37" s="137">
        <f>SUM(H32:H36)</f>
        <v>182876.32</v>
      </c>
      <c r="I37" s="138">
        <f>SUM(I32:I36)</f>
        <v>0</v>
      </c>
      <c r="J37" s="137">
        <f>SUM(J32:J36)</f>
        <v>182876.32</v>
      </c>
    </row>
    <row r="38" spans="1:10" ht="15.75">
      <c r="A38" s="22" t="s">
        <v>140</v>
      </c>
      <c r="B38" s="240" t="s">
        <v>164</v>
      </c>
      <c r="C38" s="240"/>
      <c r="D38" s="240"/>
      <c r="E38" s="240"/>
      <c r="F38" s="240"/>
      <c r="G38" s="23"/>
      <c r="H38" s="138">
        <v>0</v>
      </c>
      <c r="I38" s="138">
        <v>0</v>
      </c>
      <c r="J38" s="135">
        <f>SUM(H38:I38)</f>
        <v>0</v>
      </c>
    </row>
    <row r="39" spans="1:10" ht="21" customHeight="1">
      <c r="A39" s="25"/>
      <c r="B39" s="231" t="s">
        <v>165</v>
      </c>
      <c r="C39" s="231"/>
      <c r="D39" s="231"/>
      <c r="E39" s="231"/>
      <c r="F39" s="231"/>
      <c r="G39" s="20">
        <f>SUM(G37:G38)</f>
        <v>10.132031571415796</v>
      </c>
      <c r="H39" s="137">
        <f>SUM(H37:H38)</f>
        <v>182876.32</v>
      </c>
      <c r="I39" s="138">
        <f>SUM(I37:I38)</f>
        <v>0</v>
      </c>
      <c r="J39" s="137">
        <f>SUM(J37:J38)</f>
        <v>182876.32</v>
      </c>
    </row>
    <row r="40" spans="1:10" ht="21" customHeight="1">
      <c r="A40" s="22">
        <v>3</v>
      </c>
      <c r="B40" s="205" t="s">
        <v>215</v>
      </c>
      <c r="C40" s="206"/>
      <c r="D40" s="206"/>
      <c r="E40" s="206"/>
      <c r="F40" s="206"/>
      <c r="G40" s="207"/>
      <c r="H40" s="132">
        <f>H14-H39</f>
        <v>5031.209999999992</v>
      </c>
      <c r="I40" s="132">
        <f>I14-I39</f>
        <v>0</v>
      </c>
      <c r="J40" s="125">
        <f>J14-J39</f>
        <v>5031.209999999992</v>
      </c>
    </row>
    <row r="41" spans="2:6" ht="15.75">
      <c r="B41" s="33"/>
      <c r="F41" s="33"/>
    </row>
    <row r="42" spans="2:9" ht="20.25" customHeight="1">
      <c r="B42" s="204" t="s">
        <v>219</v>
      </c>
      <c r="C42" s="204"/>
      <c r="D42" s="204"/>
      <c r="E42" s="204"/>
      <c r="F42" s="204"/>
      <c r="G42" s="204"/>
      <c r="H42" s="204"/>
      <c r="I42" s="204"/>
    </row>
    <row r="43" spans="2:4" ht="20.25" customHeight="1">
      <c r="B43" s="33"/>
      <c r="C43" s="33"/>
      <c r="D43" s="33"/>
    </row>
    <row r="44" spans="2:4" ht="20.25" customHeight="1">
      <c r="B44" s="43" t="s">
        <v>72</v>
      </c>
      <c r="C44" s="43"/>
      <c r="D44" s="43"/>
    </row>
    <row r="45" spans="2:9" ht="20.25" customHeight="1">
      <c r="B45" s="33" t="s">
        <v>216</v>
      </c>
      <c r="C45" s="49"/>
      <c r="D45" s="49"/>
      <c r="E45" s="49"/>
      <c r="F45" s="49"/>
      <c r="G45" s="49"/>
      <c r="H45" s="49"/>
      <c r="I45" s="33"/>
    </row>
    <row r="46" spans="2:4" ht="15.75" customHeight="1">
      <c r="B46" s="196" t="s">
        <v>75</v>
      </c>
      <c r="C46" s="196"/>
      <c r="D46" s="196"/>
    </row>
  </sheetData>
  <sheetProtection/>
  <mergeCells count="38">
    <mergeCell ref="B29:D29"/>
    <mergeCell ref="B30:D30"/>
    <mergeCell ref="B36:E36"/>
    <mergeCell ref="B37:F37"/>
    <mergeCell ref="B46:D46"/>
    <mergeCell ref="B33:D33"/>
    <mergeCell ref="B34:D34"/>
    <mergeCell ref="B35:D35"/>
    <mergeCell ref="B38:F38"/>
    <mergeCell ref="B39:F39"/>
    <mergeCell ref="B40:G40"/>
    <mergeCell ref="B42:I42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5.8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7" t="s">
        <v>221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141</v>
      </c>
      <c r="B2" s="1" t="s">
        <v>84</v>
      </c>
      <c r="C2" s="2"/>
      <c r="D2" s="2" t="s">
        <v>0</v>
      </c>
      <c r="E2" s="26">
        <v>1490.8</v>
      </c>
      <c r="F2" s="2"/>
    </row>
    <row r="3" spans="2:6" ht="15.75">
      <c r="B3" s="3" t="s">
        <v>1</v>
      </c>
      <c r="C3" s="44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6" customHeight="1">
      <c r="A6" s="80" t="s">
        <v>55</v>
      </c>
      <c r="B6" s="241" t="s">
        <v>144</v>
      </c>
      <c r="C6" s="242"/>
      <c r="D6" s="243"/>
      <c r="E6" s="81" t="s">
        <v>6</v>
      </c>
      <c r="F6" s="81" t="s">
        <v>7</v>
      </c>
      <c r="G6" s="105" t="s">
        <v>198</v>
      </c>
      <c r="H6" s="106" t="s">
        <v>134</v>
      </c>
    </row>
    <row r="7" spans="1:8" ht="15.75" customHeight="1">
      <c r="A7" s="82">
        <v>1</v>
      </c>
      <c r="B7" s="244" t="s">
        <v>135</v>
      </c>
      <c r="C7" s="244"/>
      <c r="D7" s="244"/>
      <c r="E7" s="244"/>
      <c r="F7" s="244"/>
      <c r="G7" s="83"/>
      <c r="H7" s="107"/>
    </row>
    <row r="8" spans="1:8" ht="33.75" customHeight="1">
      <c r="A8" s="82"/>
      <c r="B8" s="193" t="s">
        <v>199</v>
      </c>
      <c r="C8" s="193"/>
      <c r="D8" s="193"/>
      <c r="E8" s="193"/>
      <c r="F8" s="193"/>
      <c r="G8" s="23">
        <f>G30</f>
        <v>10.89</v>
      </c>
      <c r="H8" s="84">
        <f>ROUND(E2*G8*12,2)</f>
        <v>194817.74</v>
      </c>
    </row>
    <row r="9" spans="1:8" ht="15.75" customHeight="1">
      <c r="A9" s="82"/>
      <c r="B9" s="248" t="s">
        <v>136</v>
      </c>
      <c r="C9" s="248"/>
      <c r="D9" s="248"/>
      <c r="E9" s="248"/>
      <c r="F9" s="248"/>
      <c r="G9" s="22">
        <v>0.78</v>
      </c>
      <c r="H9" s="107">
        <f>ROUND($E$2*G9*12,0)</f>
        <v>13954</v>
      </c>
    </row>
    <row r="10" spans="1:8" ht="18.75" customHeight="1">
      <c r="A10" s="82">
        <v>2</v>
      </c>
      <c r="B10" s="215" t="s">
        <v>68</v>
      </c>
      <c r="C10" s="215"/>
      <c r="D10" s="215"/>
      <c r="E10" s="215"/>
      <c r="F10" s="215"/>
      <c r="G10" s="45"/>
      <c r="H10" s="107"/>
    </row>
    <row r="11" spans="1:8" ht="15.75" customHeight="1">
      <c r="A11" s="82"/>
      <c r="B11" s="18" t="s">
        <v>69</v>
      </c>
      <c r="C11" s="18"/>
      <c r="D11" s="18"/>
      <c r="E11" s="18"/>
      <c r="F11" s="5"/>
      <c r="G11" s="94"/>
      <c r="H11" s="107"/>
    </row>
    <row r="12" spans="1:8" ht="32.25" customHeight="1">
      <c r="A12" s="108"/>
      <c r="B12" s="247" t="s">
        <v>213</v>
      </c>
      <c r="C12" s="247"/>
      <c r="D12" s="247"/>
      <c r="E12" s="98" t="s">
        <v>32</v>
      </c>
      <c r="F12" s="85" t="s">
        <v>24</v>
      </c>
      <c r="G12" s="47">
        <v>1.09</v>
      </c>
      <c r="H12" s="84">
        <f aca="true" t="shared" si="0" ref="H12:H30">ROUND($E$2*G12*12,0)</f>
        <v>19500</v>
      </c>
    </row>
    <row r="13" spans="1:8" ht="18.75" customHeight="1">
      <c r="A13" s="108"/>
      <c r="B13" s="247" t="s">
        <v>17</v>
      </c>
      <c r="C13" s="247"/>
      <c r="D13" s="247"/>
      <c r="E13" s="98" t="s">
        <v>32</v>
      </c>
      <c r="F13" s="85" t="s">
        <v>19</v>
      </c>
      <c r="G13" s="47">
        <v>0.29</v>
      </c>
      <c r="H13" s="84">
        <f t="shared" si="0"/>
        <v>5188</v>
      </c>
    </row>
    <row r="14" spans="1:8" ht="18.75" customHeight="1">
      <c r="A14" s="108"/>
      <c r="B14" s="245" t="s">
        <v>23</v>
      </c>
      <c r="C14" s="245"/>
      <c r="D14" s="245"/>
      <c r="E14" s="99" t="s">
        <v>155</v>
      </c>
      <c r="F14" s="46" t="s">
        <v>20</v>
      </c>
      <c r="G14" s="47">
        <v>0.4</v>
      </c>
      <c r="H14" s="84">
        <f t="shared" si="0"/>
        <v>7156</v>
      </c>
    </row>
    <row r="15" spans="1:8" ht="15.75" customHeight="1">
      <c r="A15" s="108"/>
      <c r="B15" s="246" t="s">
        <v>31</v>
      </c>
      <c r="C15" s="246"/>
      <c r="D15" s="246"/>
      <c r="E15" s="100" t="s">
        <v>9</v>
      </c>
      <c r="F15" s="86" t="s">
        <v>10</v>
      </c>
      <c r="G15" s="47">
        <v>0.53</v>
      </c>
      <c r="H15" s="84">
        <f t="shared" si="0"/>
        <v>9481</v>
      </c>
    </row>
    <row r="16" spans="1:8" ht="51.75" customHeight="1">
      <c r="A16" s="108"/>
      <c r="B16" s="245" t="s">
        <v>27</v>
      </c>
      <c r="C16" s="245"/>
      <c r="D16" s="245"/>
      <c r="E16" s="99" t="s">
        <v>156</v>
      </c>
      <c r="F16" s="46" t="s">
        <v>25</v>
      </c>
      <c r="G16" s="47">
        <v>0.12</v>
      </c>
      <c r="H16" s="84">
        <f t="shared" si="0"/>
        <v>2147</v>
      </c>
    </row>
    <row r="17" spans="1:8" ht="34.5" customHeight="1">
      <c r="A17" s="108"/>
      <c r="B17" s="245" t="s">
        <v>11</v>
      </c>
      <c r="C17" s="245"/>
      <c r="D17" s="245"/>
      <c r="E17" s="99" t="s">
        <v>9</v>
      </c>
      <c r="F17" s="46" t="s">
        <v>12</v>
      </c>
      <c r="G17" s="47">
        <v>0</v>
      </c>
      <c r="H17" s="84">
        <f t="shared" si="0"/>
        <v>0</v>
      </c>
    </row>
    <row r="18" spans="1:8" ht="30.75" customHeight="1">
      <c r="A18" s="108"/>
      <c r="B18" s="245" t="s">
        <v>26</v>
      </c>
      <c r="C18" s="249"/>
      <c r="D18" s="249"/>
      <c r="E18" s="101" t="s">
        <v>13</v>
      </c>
      <c r="F18" s="45" t="s">
        <v>200</v>
      </c>
      <c r="G18" s="47">
        <v>0.05</v>
      </c>
      <c r="H18" s="84">
        <f t="shared" si="0"/>
        <v>894</v>
      </c>
    </row>
    <row r="19" spans="1:8" ht="30" customHeight="1">
      <c r="A19" s="108"/>
      <c r="B19" s="245" t="s">
        <v>157</v>
      </c>
      <c r="C19" s="245"/>
      <c r="D19" s="245"/>
      <c r="E19" s="98" t="s">
        <v>36</v>
      </c>
      <c r="F19" s="46" t="s">
        <v>158</v>
      </c>
      <c r="G19" s="47">
        <v>2.21</v>
      </c>
      <c r="H19" s="84">
        <f t="shared" si="0"/>
        <v>39536</v>
      </c>
    </row>
    <row r="20" spans="1:8" ht="52.5" customHeight="1">
      <c r="A20" s="108"/>
      <c r="B20" s="247" t="s">
        <v>15</v>
      </c>
      <c r="C20" s="247"/>
      <c r="D20" s="247"/>
      <c r="E20" s="98" t="s">
        <v>137</v>
      </c>
      <c r="F20" s="46" t="s">
        <v>158</v>
      </c>
      <c r="G20" s="47">
        <v>0.45</v>
      </c>
      <c r="H20" s="84">
        <f t="shared" si="0"/>
        <v>8050</v>
      </c>
    </row>
    <row r="21" spans="1:8" ht="30.75" customHeight="1">
      <c r="A21" s="108"/>
      <c r="B21" s="245" t="s">
        <v>37</v>
      </c>
      <c r="C21" s="249"/>
      <c r="D21" s="249"/>
      <c r="E21" s="98" t="s">
        <v>36</v>
      </c>
      <c r="F21" s="46" t="s">
        <v>158</v>
      </c>
      <c r="G21" s="47">
        <f>3.57-G22-G23</f>
        <v>3.27</v>
      </c>
      <c r="H21" s="84">
        <f t="shared" si="0"/>
        <v>58499</v>
      </c>
    </row>
    <row r="22" spans="1:8" ht="16.5" customHeight="1">
      <c r="A22" s="108"/>
      <c r="B22" s="245" t="s">
        <v>201</v>
      </c>
      <c r="C22" s="245"/>
      <c r="D22" s="245"/>
      <c r="E22" s="99" t="s">
        <v>9</v>
      </c>
      <c r="F22" s="46" t="s">
        <v>158</v>
      </c>
      <c r="G22" s="47">
        <v>0.3</v>
      </c>
      <c r="H22" s="120">
        <f t="shared" si="0"/>
        <v>5367</v>
      </c>
    </row>
    <row r="23" spans="1:8" ht="22.5" customHeight="1">
      <c r="A23" s="108"/>
      <c r="B23" s="245" t="s">
        <v>160</v>
      </c>
      <c r="C23" s="245"/>
      <c r="D23" s="245"/>
      <c r="E23" s="99" t="s">
        <v>9</v>
      </c>
      <c r="F23" s="46" t="s">
        <v>158</v>
      </c>
      <c r="G23" s="47">
        <v>0</v>
      </c>
      <c r="H23" s="120">
        <f t="shared" si="0"/>
        <v>0</v>
      </c>
    </row>
    <row r="24" spans="1:8" ht="24" customHeight="1">
      <c r="A24" s="108"/>
      <c r="B24" s="249" t="s">
        <v>21</v>
      </c>
      <c r="C24" s="249"/>
      <c r="D24" s="249"/>
      <c r="E24" s="98" t="s">
        <v>36</v>
      </c>
      <c r="F24" s="46" t="s">
        <v>158</v>
      </c>
      <c r="G24" s="47">
        <v>1.09</v>
      </c>
      <c r="H24" s="84">
        <f t="shared" si="0"/>
        <v>19500</v>
      </c>
    </row>
    <row r="25" spans="1:8" ht="15.75">
      <c r="A25" s="22"/>
      <c r="B25" s="237" t="s">
        <v>161</v>
      </c>
      <c r="C25" s="238"/>
      <c r="D25" s="239"/>
      <c r="E25" s="99" t="s">
        <v>9</v>
      </c>
      <c r="F25" s="46"/>
      <c r="G25" s="47"/>
      <c r="H25" s="84"/>
    </row>
    <row r="26" spans="1:8" ht="12.75" customHeight="1">
      <c r="A26" s="22"/>
      <c r="B26" s="237" t="s">
        <v>162</v>
      </c>
      <c r="C26" s="238"/>
      <c r="D26" s="239"/>
      <c r="E26" s="98" t="s">
        <v>36</v>
      </c>
      <c r="F26" s="46"/>
      <c r="G26" s="47"/>
      <c r="H26" s="84"/>
    </row>
    <row r="27" spans="1:8" ht="15.75">
      <c r="A27" s="108"/>
      <c r="B27" s="232"/>
      <c r="C27" s="233"/>
      <c r="D27" s="234"/>
      <c r="E27" s="98"/>
      <c r="F27" s="46"/>
      <c r="G27" s="47"/>
      <c r="H27" s="84"/>
    </row>
    <row r="28" spans="1:8" ht="20.25" customHeight="1">
      <c r="A28" s="108"/>
      <c r="B28" s="250" t="s">
        <v>30</v>
      </c>
      <c r="C28" s="251"/>
      <c r="D28" s="252"/>
      <c r="E28" s="14"/>
      <c r="F28" s="46"/>
      <c r="G28" s="20">
        <f>SUM(G12:G27)</f>
        <v>9.8</v>
      </c>
      <c r="H28" s="84">
        <f t="shared" si="0"/>
        <v>175318</v>
      </c>
    </row>
    <row r="29" spans="1:8" ht="15.75" customHeight="1">
      <c r="A29" s="82" t="s">
        <v>139</v>
      </c>
      <c r="B29" s="228" t="s">
        <v>222</v>
      </c>
      <c r="C29" s="229"/>
      <c r="D29" s="229"/>
      <c r="E29" s="230"/>
      <c r="F29" s="52" t="s">
        <v>203</v>
      </c>
      <c r="G29" s="23">
        <v>1.09</v>
      </c>
      <c r="H29" s="84">
        <v>55812</v>
      </c>
    </row>
    <row r="30" spans="1:8" ht="15.75" customHeight="1">
      <c r="A30" s="82"/>
      <c r="B30" s="253" t="s">
        <v>204</v>
      </c>
      <c r="C30" s="253"/>
      <c r="D30" s="253"/>
      <c r="E30" s="253"/>
      <c r="F30" s="253"/>
      <c r="G30" s="20">
        <f>SUM(G28:G29)</f>
        <v>10.89</v>
      </c>
      <c r="H30" s="109">
        <f t="shared" si="0"/>
        <v>194818</v>
      </c>
    </row>
    <row r="31" spans="1:8" ht="15.75" customHeight="1" thickBot="1">
      <c r="A31" s="110">
        <v>3</v>
      </c>
      <c r="B31" s="254" t="s">
        <v>223</v>
      </c>
      <c r="C31" s="255"/>
      <c r="D31" s="256"/>
      <c r="E31" s="111"/>
      <c r="F31" s="112" t="s">
        <v>203</v>
      </c>
      <c r="G31" s="87">
        <v>0.78</v>
      </c>
      <c r="H31" s="113">
        <f>ROUND($E$2*G31*12,0)</f>
        <v>13954</v>
      </c>
    </row>
    <row r="32" spans="1:8" ht="47.25" customHeight="1">
      <c r="A32" s="114"/>
      <c r="B32" s="257" t="s">
        <v>224</v>
      </c>
      <c r="C32" s="257"/>
      <c r="D32" s="257"/>
      <c r="E32" s="257"/>
      <c r="F32" s="116"/>
      <c r="G32" s="88"/>
      <c r="H32" s="117"/>
    </row>
    <row r="33" spans="1:9" ht="18.75" customHeight="1">
      <c r="A33" s="118" t="s">
        <v>206</v>
      </c>
      <c r="B33" s="118"/>
      <c r="C33" s="118"/>
      <c r="D33" s="118"/>
      <c r="E33" s="118"/>
      <c r="F33" s="118"/>
      <c r="G33" s="118"/>
      <c r="H33" s="118"/>
      <c r="I33" s="118"/>
    </row>
    <row r="34" spans="1:8" ht="15.75">
      <c r="A34" s="204" t="s">
        <v>225</v>
      </c>
      <c r="B34" s="204"/>
      <c r="C34" s="204"/>
      <c r="D34" s="204"/>
      <c r="E34" s="204"/>
      <c r="F34" s="204"/>
      <c r="G34" s="204"/>
      <c r="H34" s="204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208</v>
      </c>
    </row>
    <row r="37" spans="2:4" ht="15.75" customHeight="1">
      <c r="B37" s="119"/>
      <c r="C37" s="119"/>
      <c r="D37" s="119"/>
    </row>
  </sheetData>
  <sheetProtection/>
  <mergeCells count="28">
    <mergeCell ref="B9:F9"/>
    <mergeCell ref="A1:H1"/>
    <mergeCell ref="B6:D6"/>
    <mergeCell ref="B7:F7"/>
    <mergeCell ref="B8:F8"/>
    <mergeCell ref="B10:F10"/>
    <mergeCell ref="B12:D12"/>
    <mergeCell ref="B13:D13"/>
    <mergeCell ref="B19:D19"/>
    <mergeCell ref="B18:D18"/>
    <mergeCell ref="B14:D14"/>
    <mergeCell ref="B15:D15"/>
    <mergeCell ref="B16:D16"/>
    <mergeCell ref="B17:D17"/>
    <mergeCell ref="B20:D20"/>
    <mergeCell ref="B21:D21"/>
    <mergeCell ref="B30:F30"/>
    <mergeCell ref="B22:D22"/>
    <mergeCell ref="B23:D23"/>
    <mergeCell ref="B24:D24"/>
    <mergeCell ref="B25:D25"/>
    <mergeCell ref="B31:D31"/>
    <mergeCell ref="A34:H34"/>
    <mergeCell ref="B26:D26"/>
    <mergeCell ref="B27:D27"/>
    <mergeCell ref="B28:D28"/>
    <mergeCell ref="B29:E29"/>
    <mergeCell ref="B32:E32"/>
  </mergeCells>
  <printOptions/>
  <pageMargins left="0.15748031496062992" right="0" top="0" bottom="0" header="0.5118110236220472" footer="0.5118110236220472"/>
  <pageSetup horizontalDpi="600" verticalDpi="600" orientation="portrait" paperSize="9" scale="95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8">
      <selection activeCell="G15" sqref="G15:G27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6.75390625" style="0" customWidth="1"/>
    <col min="8" max="8" width="13.00390625" style="0" customWidth="1"/>
    <col min="9" max="9" width="9.875" style="0" bestFit="1" customWidth="1"/>
  </cols>
  <sheetData>
    <row r="1" spans="3:8" ht="85.5" customHeight="1">
      <c r="C1" s="259" t="s">
        <v>226</v>
      </c>
      <c r="D1" s="259"/>
      <c r="E1" s="259"/>
      <c r="F1" s="259"/>
      <c r="G1" s="259"/>
      <c r="H1" s="259"/>
    </row>
    <row r="3" spans="1:8" ht="20.25">
      <c r="A3" s="197" t="s">
        <v>227</v>
      </c>
      <c r="B3" s="197"/>
      <c r="C3" s="197"/>
      <c r="D3" s="197"/>
      <c r="E3" s="197"/>
      <c r="F3" s="197"/>
      <c r="G3" s="197"/>
      <c r="H3" s="197"/>
    </row>
    <row r="4" spans="1:5" ht="19.5">
      <c r="A4" s="139"/>
      <c r="B4" s="139"/>
      <c r="C4" s="139"/>
      <c r="D4" s="139"/>
      <c r="E4" s="139"/>
    </row>
    <row r="5" spans="1:5" ht="15.75">
      <c r="A5" s="260" t="s">
        <v>228</v>
      </c>
      <c r="B5" s="260"/>
      <c r="C5" s="260"/>
      <c r="D5" s="260"/>
      <c r="E5" s="260"/>
    </row>
    <row r="6" spans="1:8" ht="15.75" customHeight="1">
      <c r="A6" s="197"/>
      <c r="B6" s="197"/>
      <c r="C6" s="197"/>
      <c r="D6" s="197"/>
      <c r="E6" s="197"/>
      <c r="F6" s="197"/>
      <c r="G6" s="197"/>
      <c r="H6" s="197"/>
    </row>
    <row r="7" spans="1:6" ht="15.75" customHeight="1">
      <c r="A7" s="1" t="s">
        <v>141</v>
      </c>
      <c r="B7" s="1" t="s">
        <v>84</v>
      </c>
      <c r="C7" s="2"/>
      <c r="D7" s="2" t="s">
        <v>0</v>
      </c>
      <c r="E7" s="26">
        <v>1490.8</v>
      </c>
      <c r="F7" s="2"/>
    </row>
    <row r="8" spans="2:6" ht="33.75" customHeight="1">
      <c r="B8" s="3" t="s">
        <v>1</v>
      </c>
      <c r="C8" s="44">
        <v>3</v>
      </c>
      <c r="D8" s="2" t="s">
        <v>2</v>
      </c>
      <c r="E8" s="27">
        <v>36</v>
      </c>
      <c r="F8" s="2"/>
    </row>
    <row r="9" spans="2:7" ht="15.75" customHeight="1">
      <c r="B9" s="3" t="s">
        <v>3</v>
      </c>
      <c r="C9" s="4">
        <v>3</v>
      </c>
      <c r="D9" s="2" t="s">
        <v>4</v>
      </c>
      <c r="E9" s="2" t="s">
        <v>16</v>
      </c>
      <c r="F9" s="2"/>
      <c r="G9" s="2"/>
    </row>
    <row r="10" spans="2:7" ht="18.75" customHeight="1" thickBot="1">
      <c r="B10" s="3"/>
      <c r="C10" s="4"/>
      <c r="D10" s="2" t="s">
        <v>5</v>
      </c>
      <c r="E10" s="2" t="s">
        <v>83</v>
      </c>
      <c r="F10" s="2"/>
      <c r="G10" s="2"/>
    </row>
    <row r="11" spans="1:8" ht="38.25" customHeight="1">
      <c r="A11" s="80" t="s">
        <v>55</v>
      </c>
      <c r="B11" s="241" t="s">
        <v>144</v>
      </c>
      <c r="C11" s="242"/>
      <c r="D11" s="243"/>
      <c r="E11" s="81" t="s">
        <v>6</v>
      </c>
      <c r="F11" s="81" t="s">
        <v>7</v>
      </c>
      <c r="G11" s="105" t="s">
        <v>198</v>
      </c>
      <c r="H11" s="106" t="s">
        <v>134</v>
      </c>
    </row>
    <row r="12" spans="1:8" ht="25.5" customHeight="1">
      <c r="A12" s="140">
        <v>1</v>
      </c>
      <c r="B12" s="141">
        <v>2</v>
      </c>
      <c r="C12" s="142"/>
      <c r="D12" s="143"/>
      <c r="E12" s="144">
        <v>3</v>
      </c>
      <c r="F12" s="144"/>
      <c r="G12" s="145">
        <v>4</v>
      </c>
      <c r="H12" s="146" t="s">
        <v>229</v>
      </c>
    </row>
    <row r="13" spans="1:8" ht="15.75" customHeight="1">
      <c r="A13" s="147" t="s">
        <v>230</v>
      </c>
      <c r="B13" s="215" t="s">
        <v>68</v>
      </c>
      <c r="C13" s="215"/>
      <c r="D13" s="215"/>
      <c r="E13" s="215"/>
      <c r="F13" s="215"/>
      <c r="G13" s="45"/>
      <c r="H13" s="107"/>
    </row>
    <row r="14" spans="1:8" ht="51.75" customHeight="1">
      <c r="A14" s="147" t="s">
        <v>231</v>
      </c>
      <c r="B14" s="18" t="s">
        <v>69</v>
      </c>
      <c r="C14" s="18"/>
      <c r="D14" s="18"/>
      <c r="E14" s="18"/>
      <c r="F14" s="5"/>
      <c r="G14" s="94"/>
      <c r="H14" s="107"/>
    </row>
    <row r="15" spans="1:8" ht="34.5" customHeight="1">
      <c r="A15" s="147"/>
      <c r="B15" s="247" t="s">
        <v>213</v>
      </c>
      <c r="C15" s="247"/>
      <c r="D15" s="247"/>
      <c r="E15" s="98" t="s">
        <v>32</v>
      </c>
      <c r="F15" s="85" t="s">
        <v>24</v>
      </c>
      <c r="G15" s="47">
        <v>1.12</v>
      </c>
      <c r="H15" s="84">
        <f aca="true" t="shared" si="0" ref="H15:H32">ROUND($E$7*G15*12,0)</f>
        <v>20036</v>
      </c>
    </row>
    <row r="16" spans="1:8" ht="30.75" customHeight="1">
      <c r="A16" s="147"/>
      <c r="B16" s="247" t="s">
        <v>17</v>
      </c>
      <c r="C16" s="247"/>
      <c r="D16" s="247"/>
      <c r="E16" s="98" t="s">
        <v>32</v>
      </c>
      <c r="F16" s="85" t="s">
        <v>19</v>
      </c>
      <c r="G16" s="47">
        <v>0.3</v>
      </c>
      <c r="H16" s="84">
        <f t="shared" si="0"/>
        <v>5367</v>
      </c>
    </row>
    <row r="17" spans="1:8" ht="30" customHeight="1">
      <c r="A17" s="147"/>
      <c r="B17" s="245" t="s">
        <v>23</v>
      </c>
      <c r="C17" s="245"/>
      <c r="D17" s="245"/>
      <c r="E17" s="99" t="s">
        <v>155</v>
      </c>
      <c r="F17" s="46" t="s">
        <v>20</v>
      </c>
      <c r="G17" s="47">
        <v>0.41</v>
      </c>
      <c r="H17" s="84">
        <f t="shared" si="0"/>
        <v>7335</v>
      </c>
    </row>
    <row r="18" spans="1:8" ht="52.5" customHeight="1">
      <c r="A18" s="147"/>
      <c r="B18" s="246" t="s">
        <v>31</v>
      </c>
      <c r="C18" s="246"/>
      <c r="D18" s="246"/>
      <c r="E18" s="100" t="s">
        <v>9</v>
      </c>
      <c r="F18" s="86" t="s">
        <v>10</v>
      </c>
      <c r="G18" s="47">
        <v>0.54</v>
      </c>
      <c r="H18" s="84">
        <f t="shared" si="0"/>
        <v>9660</v>
      </c>
    </row>
    <row r="19" spans="1:8" ht="30.75" customHeight="1">
      <c r="A19" s="147"/>
      <c r="B19" s="245" t="s">
        <v>27</v>
      </c>
      <c r="C19" s="245"/>
      <c r="D19" s="245"/>
      <c r="E19" s="99" t="s">
        <v>156</v>
      </c>
      <c r="F19" s="46" t="s">
        <v>25</v>
      </c>
      <c r="G19" s="47">
        <v>0.13</v>
      </c>
      <c r="H19" s="84">
        <f t="shared" si="0"/>
        <v>2326</v>
      </c>
    </row>
    <row r="20" spans="1:8" ht="16.5" customHeight="1">
      <c r="A20" s="147"/>
      <c r="B20" s="245" t="s">
        <v>11</v>
      </c>
      <c r="C20" s="245"/>
      <c r="D20" s="245"/>
      <c r="E20" s="99" t="s">
        <v>9</v>
      </c>
      <c r="F20" s="46" t="s">
        <v>12</v>
      </c>
      <c r="G20" s="47">
        <v>0</v>
      </c>
      <c r="H20" s="84">
        <f t="shared" si="0"/>
        <v>0</v>
      </c>
    </row>
    <row r="21" spans="1:8" ht="22.5" customHeight="1">
      <c r="A21" s="147"/>
      <c r="B21" s="245" t="s">
        <v>26</v>
      </c>
      <c r="C21" s="249"/>
      <c r="D21" s="249"/>
      <c r="E21" s="101" t="s">
        <v>13</v>
      </c>
      <c r="F21" s="45" t="s">
        <v>200</v>
      </c>
      <c r="G21" s="47">
        <v>0.05</v>
      </c>
      <c r="H21" s="84">
        <f t="shared" si="0"/>
        <v>894</v>
      </c>
    </row>
    <row r="22" spans="1:8" ht="24" customHeight="1">
      <c r="A22" s="147"/>
      <c r="B22" s="245" t="s">
        <v>157</v>
      </c>
      <c r="C22" s="245"/>
      <c r="D22" s="245"/>
      <c r="E22" s="98" t="s">
        <v>36</v>
      </c>
      <c r="F22" s="46" t="s">
        <v>158</v>
      </c>
      <c r="G22" s="47">
        <v>2.28</v>
      </c>
      <c r="H22" s="84">
        <f t="shared" si="0"/>
        <v>40788</v>
      </c>
    </row>
    <row r="23" spans="1:8" ht="51">
      <c r="A23" s="147"/>
      <c r="B23" s="247" t="s">
        <v>15</v>
      </c>
      <c r="C23" s="247"/>
      <c r="D23" s="247"/>
      <c r="E23" s="98" t="s">
        <v>137</v>
      </c>
      <c r="F23" s="46" t="s">
        <v>158</v>
      </c>
      <c r="G23" s="47">
        <v>0.47</v>
      </c>
      <c r="H23" s="84">
        <f t="shared" si="0"/>
        <v>8408</v>
      </c>
    </row>
    <row r="24" spans="1:8" ht="12.75" customHeight="1">
      <c r="A24" s="147"/>
      <c r="B24" s="245" t="s">
        <v>37</v>
      </c>
      <c r="C24" s="249"/>
      <c r="D24" s="249"/>
      <c r="E24" s="98" t="s">
        <v>36</v>
      </c>
      <c r="F24" s="46" t="s">
        <v>158</v>
      </c>
      <c r="G24" s="47">
        <f>3.67-G25-G26</f>
        <v>3.36</v>
      </c>
      <c r="H24" s="84">
        <f t="shared" si="0"/>
        <v>60109</v>
      </c>
    </row>
    <row r="25" spans="1:8" ht="47.25">
      <c r="A25" s="147"/>
      <c r="B25" s="245" t="s">
        <v>201</v>
      </c>
      <c r="C25" s="245"/>
      <c r="D25" s="245"/>
      <c r="E25" s="99" t="s">
        <v>9</v>
      </c>
      <c r="F25" s="46" t="s">
        <v>158</v>
      </c>
      <c r="G25" s="47">
        <v>0.31</v>
      </c>
      <c r="H25" s="120">
        <f t="shared" si="0"/>
        <v>5546</v>
      </c>
    </row>
    <row r="26" spans="1:8" ht="20.25" customHeight="1">
      <c r="A26" s="147"/>
      <c r="B26" s="245" t="s">
        <v>160</v>
      </c>
      <c r="C26" s="245"/>
      <c r="D26" s="245"/>
      <c r="E26" s="99" t="s">
        <v>9</v>
      </c>
      <c r="F26" s="46" t="s">
        <v>158</v>
      </c>
      <c r="G26" s="47">
        <v>0</v>
      </c>
      <c r="H26" s="120">
        <f t="shared" si="0"/>
        <v>0</v>
      </c>
    </row>
    <row r="27" spans="1:8" ht="15.75" customHeight="1">
      <c r="A27" s="147"/>
      <c r="B27" s="249" t="s">
        <v>21</v>
      </c>
      <c r="C27" s="249"/>
      <c r="D27" s="249"/>
      <c r="E27" s="98" t="s">
        <v>36</v>
      </c>
      <c r="F27" s="46" t="s">
        <v>158</v>
      </c>
      <c r="G27" s="47">
        <v>1.12</v>
      </c>
      <c r="H27" s="84">
        <f t="shared" si="0"/>
        <v>20036</v>
      </c>
    </row>
    <row r="28" spans="1:8" ht="15.75" customHeight="1">
      <c r="A28" s="148"/>
      <c r="B28" s="237" t="s">
        <v>161</v>
      </c>
      <c r="C28" s="238"/>
      <c r="D28" s="239"/>
      <c r="E28" s="99" t="s">
        <v>9</v>
      </c>
      <c r="F28" s="46"/>
      <c r="G28" s="47"/>
      <c r="H28" s="84"/>
    </row>
    <row r="29" spans="1:8" ht="15.75" customHeight="1">
      <c r="A29" s="148"/>
      <c r="B29" s="237" t="s">
        <v>162</v>
      </c>
      <c r="C29" s="238"/>
      <c r="D29" s="239"/>
      <c r="E29" s="98" t="s">
        <v>36</v>
      </c>
      <c r="F29" s="46"/>
      <c r="G29" s="47"/>
      <c r="H29" s="84"/>
    </row>
    <row r="30" spans="1:9" ht="18.75" customHeight="1">
      <c r="A30" s="147"/>
      <c r="B30" s="250" t="s">
        <v>30</v>
      </c>
      <c r="C30" s="251"/>
      <c r="D30" s="252"/>
      <c r="E30" s="14"/>
      <c r="F30" s="46"/>
      <c r="G30" s="20">
        <f>SUM(G15:G29)</f>
        <v>10.09</v>
      </c>
      <c r="H30" s="84">
        <f t="shared" si="0"/>
        <v>180506</v>
      </c>
      <c r="I30" s="118"/>
    </row>
    <row r="31" spans="1:8" ht="21.75" customHeight="1">
      <c r="A31" s="147" t="s">
        <v>232</v>
      </c>
      <c r="B31" s="228" t="s">
        <v>222</v>
      </c>
      <c r="C31" s="229"/>
      <c r="D31" s="229"/>
      <c r="E31" s="230"/>
      <c r="F31" s="52" t="s">
        <v>203</v>
      </c>
      <c r="G31" s="23">
        <v>1.12</v>
      </c>
      <c r="H31" s="84">
        <v>55812</v>
      </c>
    </row>
    <row r="32" spans="1:8" ht="15.75" customHeight="1">
      <c r="A32" s="147" t="s">
        <v>233</v>
      </c>
      <c r="B32" s="253" t="s">
        <v>204</v>
      </c>
      <c r="C32" s="253"/>
      <c r="D32" s="253"/>
      <c r="E32" s="253"/>
      <c r="F32" s="253"/>
      <c r="G32" s="20">
        <f>SUM(G30:G31)</f>
        <v>11.21</v>
      </c>
      <c r="H32" s="109">
        <f t="shared" si="0"/>
        <v>200542</v>
      </c>
    </row>
    <row r="33" spans="1:9" ht="18.75" customHeight="1" thickBot="1">
      <c r="A33" s="149" t="s">
        <v>234</v>
      </c>
      <c r="B33" s="254" t="s">
        <v>223</v>
      </c>
      <c r="C33" s="255"/>
      <c r="D33" s="256"/>
      <c r="E33" s="111"/>
      <c r="F33" s="112" t="s">
        <v>203</v>
      </c>
      <c r="G33" s="87">
        <v>0.8</v>
      </c>
      <c r="H33" s="113">
        <f>ROUND($E$7*G33*12,0)</f>
        <v>14312</v>
      </c>
      <c r="I33" s="33" t="s">
        <v>208</v>
      </c>
    </row>
    <row r="34" spans="1:9" ht="18.75" customHeight="1">
      <c r="A34" s="118" t="s">
        <v>206</v>
      </c>
      <c r="B34" s="118"/>
      <c r="C34" s="118"/>
      <c r="D34" s="118"/>
      <c r="E34" s="118"/>
      <c r="F34" s="118"/>
      <c r="G34" s="118"/>
      <c r="H34" s="118"/>
      <c r="I34" s="118"/>
    </row>
    <row r="35" spans="1:8" ht="15.75" customHeight="1">
      <c r="A35" s="258" t="s">
        <v>235</v>
      </c>
      <c r="B35" s="258"/>
      <c r="C35" s="258"/>
      <c r="D35" s="258"/>
      <c r="E35" s="33" t="s">
        <v>236</v>
      </c>
      <c r="F35" s="33"/>
      <c r="G35" s="33"/>
      <c r="H35" s="33"/>
    </row>
    <row r="36" ht="15.75">
      <c r="I36" s="33" t="s">
        <v>208</v>
      </c>
    </row>
    <row r="37" spans="1:5" ht="15.75" customHeight="1">
      <c r="A37" s="258" t="s">
        <v>237</v>
      </c>
      <c r="B37" s="258"/>
      <c r="C37" s="258"/>
      <c r="D37" s="258"/>
      <c r="E37" t="s">
        <v>238</v>
      </c>
    </row>
    <row r="39" spans="2:4" ht="15.75">
      <c r="B39" s="119"/>
      <c r="C39" s="119"/>
      <c r="D39" s="119"/>
    </row>
  </sheetData>
  <mergeCells count="27">
    <mergeCell ref="B25:D25"/>
    <mergeCell ref="A35:D35"/>
    <mergeCell ref="B32:F32"/>
    <mergeCell ref="B33:D33"/>
    <mergeCell ref="B29:D29"/>
    <mergeCell ref="B30:D30"/>
    <mergeCell ref="B31:E31"/>
    <mergeCell ref="B22:D22"/>
    <mergeCell ref="B23:D23"/>
    <mergeCell ref="B24:D24"/>
    <mergeCell ref="C1:H1"/>
    <mergeCell ref="A3:H3"/>
    <mergeCell ref="A5:E5"/>
    <mergeCell ref="B16:D16"/>
    <mergeCell ref="A6:H6"/>
    <mergeCell ref="B11:D11"/>
    <mergeCell ref="B13:F13"/>
    <mergeCell ref="B15:D15"/>
    <mergeCell ref="A37:D37"/>
    <mergeCell ref="B17:D17"/>
    <mergeCell ref="B18:D18"/>
    <mergeCell ref="B19:D19"/>
    <mergeCell ref="B20:D20"/>
    <mergeCell ref="B26:D26"/>
    <mergeCell ref="B27:D27"/>
    <mergeCell ref="B28:D28"/>
    <mergeCell ref="B21:D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I22" sqref="I1:J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9.125" style="0" hidden="1" customWidth="1"/>
    <col min="8" max="8" width="11.125" style="0" hidden="1" customWidth="1"/>
    <col min="9" max="9" width="12.00390625" style="0" hidden="1" customWidth="1"/>
    <col min="10" max="10" width="12.625" style="0" hidden="1" customWidth="1"/>
    <col min="11" max="11" width="20.50390625" style="0" customWidth="1"/>
    <col min="12" max="13" width="0" style="0" hidden="1" customWidth="1"/>
  </cols>
  <sheetData>
    <row r="1" spans="1:10" ht="110.25" customHeight="1">
      <c r="A1" s="197" t="s">
        <v>239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65.25" customHeight="1">
      <c r="A2" s="218" t="s">
        <v>240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31.5">
      <c r="A3" s="1" t="s">
        <v>141</v>
      </c>
      <c r="B3" s="1" t="s">
        <v>84</v>
      </c>
      <c r="C3" s="2"/>
      <c r="D3" s="151" t="s">
        <v>241</v>
      </c>
      <c r="E3" s="26">
        <v>1490.8</v>
      </c>
      <c r="F3" s="2"/>
      <c r="H3" s="89"/>
      <c r="I3" s="89"/>
    </row>
    <row r="4" spans="2:6" ht="15.75">
      <c r="B4" s="3" t="s">
        <v>1</v>
      </c>
      <c r="C4" s="44">
        <v>3</v>
      </c>
      <c r="D4" s="2" t="s">
        <v>2</v>
      </c>
      <c r="E4" s="27">
        <v>36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13" ht="48" customHeight="1">
      <c r="A7" s="21" t="s">
        <v>55</v>
      </c>
      <c r="B7" s="219" t="s">
        <v>144</v>
      </c>
      <c r="C7" s="220"/>
      <c r="D7" s="221"/>
      <c r="E7" s="11" t="s">
        <v>6</v>
      </c>
      <c r="F7" s="11" t="s">
        <v>7</v>
      </c>
      <c r="G7" s="90" t="s">
        <v>242</v>
      </c>
      <c r="H7" s="153" t="s">
        <v>243</v>
      </c>
      <c r="I7" s="222" t="s">
        <v>244</v>
      </c>
      <c r="J7" s="223"/>
      <c r="K7" s="224"/>
      <c r="L7" s="58">
        <v>12</v>
      </c>
      <c r="M7" s="154" t="s">
        <v>245</v>
      </c>
    </row>
    <row r="8" spans="1:11" ht="15.75">
      <c r="A8" s="22">
        <v>1</v>
      </c>
      <c r="B8" s="152"/>
      <c r="C8" s="216"/>
      <c r="D8" s="216"/>
      <c r="E8" s="216"/>
      <c r="F8" s="217"/>
      <c r="G8" s="155"/>
      <c r="H8" s="155"/>
      <c r="I8" s="156" t="s">
        <v>146</v>
      </c>
      <c r="J8" s="93" t="s">
        <v>147</v>
      </c>
      <c r="K8" s="93" t="s">
        <v>148</v>
      </c>
    </row>
    <row r="9" spans="1:11" ht="15.75">
      <c r="A9" s="22"/>
      <c r="B9" s="152" t="s">
        <v>149</v>
      </c>
      <c r="C9" s="216"/>
      <c r="D9" s="216"/>
      <c r="E9" s="216"/>
      <c r="F9" s="217"/>
      <c r="G9" s="59"/>
      <c r="H9" s="59"/>
      <c r="I9" s="59"/>
      <c r="J9" s="59"/>
      <c r="K9" s="93"/>
    </row>
    <row r="10" spans="1:11" ht="15.75" customHeight="1">
      <c r="A10" s="95"/>
      <c r="B10" s="191" t="s">
        <v>150</v>
      </c>
      <c r="C10" s="191"/>
      <c r="D10" s="191"/>
      <c r="E10" s="191"/>
      <c r="F10" s="191"/>
      <c r="G10" s="15"/>
      <c r="H10" s="15"/>
      <c r="I10" s="157">
        <v>209849.35</v>
      </c>
      <c r="J10" s="83"/>
      <c r="K10" s="96">
        <f>I10+J10</f>
        <v>209849.35</v>
      </c>
    </row>
    <row r="11" spans="1:11" ht="15.75" customHeight="1">
      <c r="A11" s="95"/>
      <c r="B11" s="191" t="s">
        <v>151</v>
      </c>
      <c r="C11" s="191"/>
      <c r="D11" s="191"/>
      <c r="E11" s="191"/>
      <c r="F11" s="191"/>
      <c r="G11" s="15"/>
      <c r="H11" s="15"/>
      <c r="I11" s="16">
        <v>12900.68</v>
      </c>
      <c r="J11" s="83"/>
      <c r="K11" s="96">
        <f>I11+J11</f>
        <v>12900.68</v>
      </c>
    </row>
    <row r="12" spans="1:11" ht="15.75" customHeight="1">
      <c r="A12" s="22"/>
      <c r="B12" s="191" t="s">
        <v>152</v>
      </c>
      <c r="C12" s="191"/>
      <c r="D12" s="191"/>
      <c r="E12" s="191"/>
      <c r="F12" s="191"/>
      <c r="G12" s="15"/>
      <c r="H12" s="15"/>
      <c r="I12" s="157"/>
      <c r="J12" s="83">
        <v>0</v>
      </c>
      <c r="K12" s="96">
        <f>I12+J12</f>
        <v>0</v>
      </c>
    </row>
    <row r="13" spans="1:11" ht="15.75">
      <c r="A13" s="22"/>
      <c r="B13" s="191" t="s">
        <v>153</v>
      </c>
      <c r="C13" s="191"/>
      <c r="D13" s="191"/>
      <c r="E13" s="191"/>
      <c r="F13" s="191"/>
      <c r="G13" s="15"/>
      <c r="H13" s="15"/>
      <c r="I13" s="157">
        <v>0</v>
      </c>
      <c r="J13" s="158">
        <v>0</v>
      </c>
      <c r="K13" s="96">
        <f>I13+J13</f>
        <v>0</v>
      </c>
    </row>
    <row r="14" spans="1:11" ht="15.75" customHeight="1">
      <c r="A14" s="22"/>
      <c r="B14" s="193" t="s">
        <v>154</v>
      </c>
      <c r="C14" s="193"/>
      <c r="D14" s="193"/>
      <c r="E14" s="193"/>
      <c r="F14" s="193"/>
      <c r="G14" s="15"/>
      <c r="H14" s="15"/>
      <c r="I14" s="36">
        <f>SUM(I10:I12)</f>
        <v>222750.03</v>
      </c>
      <c r="J14" s="159">
        <f>SUM(J10:J12)</f>
        <v>0</v>
      </c>
      <c r="K14" s="36">
        <f>SUM(K10:K13)</f>
        <v>222750.03</v>
      </c>
    </row>
    <row r="15" spans="1:11" ht="18.75" customHeight="1">
      <c r="A15" s="22">
        <v>2</v>
      </c>
      <c r="B15" s="261" t="s">
        <v>68</v>
      </c>
      <c r="C15" s="261"/>
      <c r="D15" s="261"/>
      <c r="E15" s="261"/>
      <c r="F15" s="261"/>
      <c r="G15" s="15"/>
      <c r="H15" s="15"/>
      <c r="I15" s="157"/>
      <c r="J15" s="83"/>
      <c r="K15" s="34"/>
    </row>
    <row r="16" spans="1:11" ht="15.75">
      <c r="A16" s="22" t="s">
        <v>138</v>
      </c>
      <c r="B16" s="74" t="s">
        <v>69</v>
      </c>
      <c r="C16" s="74"/>
      <c r="D16" s="74"/>
      <c r="E16" s="74"/>
      <c r="F16" s="160"/>
      <c r="G16" s="156"/>
      <c r="H16" s="156"/>
      <c r="I16" s="156"/>
      <c r="J16" s="150"/>
      <c r="K16" s="93"/>
    </row>
    <row r="17" spans="1:11" ht="33.75" customHeight="1">
      <c r="A17" s="97"/>
      <c r="B17" s="225" t="s">
        <v>246</v>
      </c>
      <c r="C17" s="225"/>
      <c r="D17" s="225"/>
      <c r="E17" s="161" t="s">
        <v>32</v>
      </c>
      <c r="F17" s="85" t="s">
        <v>24</v>
      </c>
      <c r="G17" s="47">
        <v>1.06</v>
      </c>
      <c r="H17" s="47">
        <v>1.12</v>
      </c>
      <c r="I17" s="48">
        <f>ROUND($E$3*G17*6,2)+ROUND($E$3*H17*($L$7-6),2)</f>
        <v>19499.67</v>
      </c>
      <c r="J17" s="162"/>
      <c r="K17" s="163">
        <f>SUM(I17:J17)</f>
        <v>19499.67</v>
      </c>
    </row>
    <row r="18" spans="1:11" ht="17.25" customHeight="1">
      <c r="A18" s="22"/>
      <c r="B18" s="226" t="s">
        <v>17</v>
      </c>
      <c r="C18" s="226"/>
      <c r="D18" s="226"/>
      <c r="E18" s="161" t="s">
        <v>32</v>
      </c>
      <c r="F18" s="85" t="s">
        <v>19</v>
      </c>
      <c r="G18" s="47">
        <v>0.28</v>
      </c>
      <c r="H18" s="47">
        <v>0.3</v>
      </c>
      <c r="I18" s="48">
        <f>ROUND($E$3*G18*6,2)+ROUND($E$3*H18*($L$7-6),2)</f>
        <v>5187.98</v>
      </c>
      <c r="J18" s="162"/>
      <c r="K18" s="163">
        <f>SUM(I18:J18)</f>
        <v>5187.98</v>
      </c>
    </row>
    <row r="19" spans="1:11" ht="20.25" customHeight="1">
      <c r="A19" s="22"/>
      <c r="B19" s="227" t="s">
        <v>23</v>
      </c>
      <c r="C19" s="227"/>
      <c r="D19" s="227"/>
      <c r="E19" s="164" t="s">
        <v>155</v>
      </c>
      <c r="F19" s="46" t="s">
        <v>20</v>
      </c>
      <c r="G19" s="47">
        <v>0.39</v>
      </c>
      <c r="H19" s="47">
        <v>0.41</v>
      </c>
      <c r="I19" s="48">
        <f>K19-J19</f>
        <v>4402.84</v>
      </c>
      <c r="J19" s="162"/>
      <c r="K19" s="165">
        <v>4402.84</v>
      </c>
    </row>
    <row r="20" spans="1:11" ht="20.25" customHeight="1">
      <c r="A20" s="97"/>
      <c r="B20" s="225" t="s">
        <v>31</v>
      </c>
      <c r="C20" s="225"/>
      <c r="D20" s="225"/>
      <c r="E20" s="166" t="s">
        <v>9</v>
      </c>
      <c r="F20" s="86" t="s">
        <v>10</v>
      </c>
      <c r="G20" s="47">
        <v>0.51</v>
      </c>
      <c r="H20" s="47">
        <v>0.54</v>
      </c>
      <c r="I20" s="48">
        <f>ROUND($E$3*G20*6,2)+ROUND($E$3*H20*($L$7-6),2)</f>
        <v>9392.04</v>
      </c>
      <c r="J20" s="162"/>
      <c r="K20" s="163">
        <f>SUM(I20:J20)</f>
        <v>9392.04</v>
      </c>
    </row>
    <row r="21" spans="1:11" ht="65.25" customHeight="1">
      <c r="A21" s="22"/>
      <c r="B21" s="227" t="s">
        <v>27</v>
      </c>
      <c r="C21" s="227"/>
      <c r="D21" s="227"/>
      <c r="E21" s="164" t="s">
        <v>156</v>
      </c>
      <c r="F21" s="46" t="s">
        <v>25</v>
      </c>
      <c r="G21" s="47">
        <v>0.12</v>
      </c>
      <c r="H21" s="47">
        <v>0.13</v>
      </c>
      <c r="I21" s="48">
        <f>K21-J21</f>
        <v>3427</v>
      </c>
      <c r="J21" s="162"/>
      <c r="K21" s="165">
        <v>3427</v>
      </c>
    </row>
    <row r="22" spans="1:11" ht="20.25" customHeight="1">
      <c r="A22" s="97"/>
      <c r="B22" s="227" t="s">
        <v>11</v>
      </c>
      <c r="C22" s="227"/>
      <c r="D22" s="227"/>
      <c r="E22" s="164" t="s">
        <v>9</v>
      </c>
      <c r="F22" s="46" t="s">
        <v>12</v>
      </c>
      <c r="G22" s="47">
        <v>0</v>
      </c>
      <c r="H22" s="47">
        <v>0</v>
      </c>
      <c r="I22" s="48">
        <f>ROUND($E$3*G22*6,2)+ROUND($E$3*H22*($L$7-6),2)</f>
        <v>0</v>
      </c>
      <c r="J22" s="162"/>
      <c r="K22" s="163">
        <f>SUM(I22:J22)</f>
        <v>0</v>
      </c>
    </row>
    <row r="23" spans="1:11" ht="20.25" customHeight="1">
      <c r="A23" s="97"/>
      <c r="B23" s="227" t="s">
        <v>26</v>
      </c>
      <c r="C23" s="235"/>
      <c r="D23" s="235"/>
      <c r="E23" s="167" t="s">
        <v>13</v>
      </c>
      <c r="F23" s="45" t="s">
        <v>14</v>
      </c>
      <c r="G23" s="47">
        <v>0.05</v>
      </c>
      <c r="H23" s="47">
        <v>0.05</v>
      </c>
      <c r="I23" s="48">
        <f>K23-J23</f>
        <v>2238.75</v>
      </c>
      <c r="J23" s="162"/>
      <c r="K23" s="165">
        <v>2238.75</v>
      </c>
    </row>
    <row r="24" spans="1:11" ht="54" customHeight="1">
      <c r="A24" s="22"/>
      <c r="B24" s="227" t="s">
        <v>157</v>
      </c>
      <c r="C24" s="227"/>
      <c r="D24" s="227"/>
      <c r="E24" s="98" t="s">
        <v>247</v>
      </c>
      <c r="F24" s="102" t="s">
        <v>248</v>
      </c>
      <c r="G24" s="47">
        <v>2.15</v>
      </c>
      <c r="H24" s="47">
        <v>2.28</v>
      </c>
      <c r="I24" s="48">
        <f aca="true" t="shared" si="0" ref="I24:I29">ROUND($E$3*G24*6,2)+ROUND($E$3*H24*($L$7-6),2)</f>
        <v>39625.46</v>
      </c>
      <c r="J24" s="162"/>
      <c r="K24" s="163">
        <f>SUM(I24:J24)</f>
        <v>39625.46</v>
      </c>
    </row>
    <row r="25" spans="1:11" ht="26.25" customHeight="1">
      <c r="A25" s="22"/>
      <c r="B25" s="226" t="s">
        <v>15</v>
      </c>
      <c r="C25" s="226"/>
      <c r="D25" s="226"/>
      <c r="E25" s="161" t="s">
        <v>36</v>
      </c>
      <c r="F25" s="102" t="s">
        <v>248</v>
      </c>
      <c r="G25" s="47">
        <v>0.44</v>
      </c>
      <c r="H25" s="47">
        <v>0.47</v>
      </c>
      <c r="I25" s="48">
        <f>K25-J25</f>
        <v>8139.78</v>
      </c>
      <c r="J25" s="162"/>
      <c r="K25" s="163">
        <v>8139.78</v>
      </c>
    </row>
    <row r="26" spans="1:11" ht="30" customHeight="1">
      <c r="A26" s="22"/>
      <c r="B26" s="205" t="s">
        <v>37</v>
      </c>
      <c r="C26" s="238"/>
      <c r="D26" s="239"/>
      <c r="E26" s="161" t="s">
        <v>36</v>
      </c>
      <c r="F26" s="102" t="s">
        <v>248</v>
      </c>
      <c r="G26" s="50">
        <f>3.46-G27-G28</f>
        <v>3.17</v>
      </c>
      <c r="H26" s="47">
        <f>3.67-H27-H28</f>
        <v>3.36</v>
      </c>
      <c r="I26" s="48">
        <f t="shared" si="0"/>
        <v>58409.55</v>
      </c>
      <c r="J26" s="168"/>
      <c r="K26" s="163">
        <f>SUM(I26:J26)</f>
        <v>58409.55</v>
      </c>
    </row>
    <row r="27" spans="1:11" ht="26.25" customHeight="1">
      <c r="A27" s="97"/>
      <c r="B27" s="227" t="s">
        <v>159</v>
      </c>
      <c r="C27" s="227"/>
      <c r="D27" s="227"/>
      <c r="E27" s="164" t="s">
        <v>9</v>
      </c>
      <c r="F27" s="102" t="s">
        <v>248</v>
      </c>
      <c r="G27" s="50">
        <v>0.29</v>
      </c>
      <c r="H27" s="47">
        <v>0.31</v>
      </c>
      <c r="I27" s="48">
        <f t="shared" si="0"/>
        <v>5366.879999999999</v>
      </c>
      <c r="J27" s="168"/>
      <c r="K27" s="163">
        <f>SUM(I27:J27)</f>
        <v>5366.879999999999</v>
      </c>
    </row>
    <row r="28" spans="1:11" ht="17.25" customHeight="1">
      <c r="A28" s="22"/>
      <c r="B28" s="227" t="s">
        <v>160</v>
      </c>
      <c r="C28" s="227"/>
      <c r="D28" s="227"/>
      <c r="E28" s="164" t="s">
        <v>9</v>
      </c>
      <c r="F28" s="102" t="s">
        <v>248</v>
      </c>
      <c r="G28" s="50">
        <v>0</v>
      </c>
      <c r="H28" s="47">
        <v>0</v>
      </c>
      <c r="I28" s="48">
        <f t="shared" si="0"/>
        <v>0</v>
      </c>
      <c r="J28" s="168"/>
      <c r="K28" s="163">
        <f>SUM(I28:J28)</f>
        <v>0</v>
      </c>
    </row>
    <row r="29" spans="1:11" ht="30.75" customHeight="1">
      <c r="A29" s="22"/>
      <c r="B29" s="235" t="s">
        <v>21</v>
      </c>
      <c r="C29" s="235"/>
      <c r="D29" s="235"/>
      <c r="E29" s="99" t="s">
        <v>36</v>
      </c>
      <c r="F29" s="102" t="s">
        <v>248</v>
      </c>
      <c r="G29" s="45">
        <v>1.06</v>
      </c>
      <c r="H29" s="47">
        <v>1.12</v>
      </c>
      <c r="I29" s="48">
        <f t="shared" si="0"/>
        <v>19499.67</v>
      </c>
      <c r="J29" s="162"/>
      <c r="K29" s="163">
        <f>SUM(I29:J29)</f>
        <v>19499.67</v>
      </c>
    </row>
    <row r="30" spans="1:11" ht="15.75">
      <c r="A30" s="22"/>
      <c r="B30" s="232"/>
      <c r="C30" s="233"/>
      <c r="D30" s="234"/>
      <c r="E30" s="164"/>
      <c r="F30" s="102"/>
      <c r="G30" s="45"/>
      <c r="H30" s="45"/>
      <c r="I30" s="169"/>
      <c r="J30" s="158"/>
      <c r="K30" s="170"/>
    </row>
    <row r="31" spans="1:11" ht="15.75">
      <c r="A31" s="22"/>
      <c r="B31" s="262" t="s">
        <v>30</v>
      </c>
      <c r="C31" s="262"/>
      <c r="D31" s="262"/>
      <c r="E31" s="22"/>
      <c r="F31" s="102"/>
      <c r="G31" s="23">
        <f>SUM(G17:G29)</f>
        <v>9.520000000000001</v>
      </c>
      <c r="H31" s="23">
        <f>SUM(H17:H29)</f>
        <v>10.09</v>
      </c>
      <c r="I31" s="171">
        <f>SUM(I17:I30)</f>
        <v>175189.62</v>
      </c>
      <c r="J31" s="159"/>
      <c r="K31" s="171">
        <f>SUM(K17:K30)</f>
        <v>175189.62</v>
      </c>
    </row>
    <row r="32" spans="1:11" ht="15.75" hidden="1">
      <c r="A32" s="22"/>
      <c r="B32" s="237" t="s">
        <v>161</v>
      </c>
      <c r="C32" s="238"/>
      <c r="D32" s="239"/>
      <c r="E32" s="164" t="s">
        <v>9</v>
      </c>
      <c r="F32" s="102"/>
      <c r="G32" s="45"/>
      <c r="H32" s="45"/>
      <c r="I32" s="169"/>
      <c r="J32" s="158"/>
      <c r="K32" s="170"/>
    </row>
    <row r="33" spans="1:11" ht="21.75" customHeight="1" hidden="1">
      <c r="A33" s="22"/>
      <c r="B33" s="237" t="s">
        <v>162</v>
      </c>
      <c r="C33" s="238"/>
      <c r="D33" s="239"/>
      <c r="E33" s="161" t="s">
        <v>36</v>
      </c>
      <c r="F33" s="102"/>
      <c r="G33" s="45"/>
      <c r="H33" s="45"/>
      <c r="I33" s="169"/>
      <c r="J33" s="158"/>
      <c r="K33" s="170"/>
    </row>
    <row r="34" spans="1:11" ht="27.75" customHeight="1" hidden="1">
      <c r="A34" s="22"/>
      <c r="B34" s="232"/>
      <c r="C34" s="233"/>
      <c r="D34" s="234"/>
      <c r="E34" s="164"/>
      <c r="F34" s="102"/>
      <c r="G34" s="45"/>
      <c r="H34" s="45"/>
      <c r="I34" s="169"/>
      <c r="J34" s="158"/>
      <c r="K34" s="170"/>
    </row>
    <row r="35" spans="1:11" ht="26.25" customHeight="1">
      <c r="A35" s="22" t="s">
        <v>139</v>
      </c>
      <c r="B35" s="228" t="s">
        <v>163</v>
      </c>
      <c r="C35" s="229"/>
      <c r="D35" s="229"/>
      <c r="E35" s="230"/>
      <c r="F35" s="102" t="s">
        <v>248</v>
      </c>
      <c r="G35" s="23">
        <f>I35/E3/6</f>
        <v>0</v>
      </c>
      <c r="H35" s="23">
        <f>I35/E3/6</f>
        <v>0</v>
      </c>
      <c r="I35" s="172">
        <v>0</v>
      </c>
      <c r="J35" s="173"/>
      <c r="K35" s="174">
        <f>SUM(I35:J35)</f>
        <v>0</v>
      </c>
    </row>
    <row r="36" spans="1:11" ht="15" customHeight="1">
      <c r="A36" s="25"/>
      <c r="B36" s="240" t="s">
        <v>70</v>
      </c>
      <c r="C36" s="240"/>
      <c r="D36" s="240"/>
      <c r="E36" s="240"/>
      <c r="F36" s="240"/>
      <c r="G36" s="23">
        <f>SUM(G31:G35)</f>
        <v>9.520000000000001</v>
      </c>
      <c r="H36" s="23">
        <f>SUM(H31:H35)</f>
        <v>10.09</v>
      </c>
      <c r="I36" s="175">
        <f>SUM(I31:I35)</f>
        <v>175189.62</v>
      </c>
      <c r="J36" s="176"/>
      <c r="K36" s="176">
        <f>SUM(K31:K35)</f>
        <v>175189.62</v>
      </c>
    </row>
    <row r="37" spans="1:11" ht="14.25" customHeight="1">
      <c r="A37" s="22" t="s">
        <v>140</v>
      </c>
      <c r="B37" s="240" t="s">
        <v>164</v>
      </c>
      <c r="C37" s="240"/>
      <c r="D37" s="240"/>
      <c r="E37" s="240"/>
      <c r="F37" s="240"/>
      <c r="G37" s="23"/>
      <c r="H37" s="23"/>
      <c r="I37" s="177">
        <v>0</v>
      </c>
      <c r="J37" s="177"/>
      <c r="K37" s="174">
        <f>SUM(I37:J37)</f>
        <v>0</v>
      </c>
    </row>
    <row r="38" spans="1:11" ht="18.75">
      <c r="A38" s="25"/>
      <c r="B38" s="240" t="s">
        <v>165</v>
      </c>
      <c r="C38" s="240"/>
      <c r="D38" s="240"/>
      <c r="E38" s="240"/>
      <c r="F38" s="240"/>
      <c r="G38" s="23">
        <f>SUM(G36:G37)</f>
        <v>9.520000000000001</v>
      </c>
      <c r="H38" s="23">
        <f>SUM(H36:H37)</f>
        <v>10.09</v>
      </c>
      <c r="I38" s="175">
        <f>SUM(I36:I37)</f>
        <v>175189.62</v>
      </c>
      <c r="J38" s="176"/>
      <c r="K38" s="176">
        <f>SUM(K36:K37)</f>
        <v>175189.62</v>
      </c>
    </row>
    <row r="39" spans="1:11" ht="24.75" customHeight="1">
      <c r="A39" s="22">
        <v>3</v>
      </c>
      <c r="B39" s="263" t="s">
        <v>249</v>
      </c>
      <c r="C39" s="263"/>
      <c r="D39" s="263"/>
      <c r="E39" s="263"/>
      <c r="F39" s="178"/>
      <c r="G39" s="178"/>
      <c r="H39" s="179"/>
      <c r="I39" s="48">
        <f>I14-I38</f>
        <v>47560.41</v>
      </c>
      <c r="J39" s="48"/>
      <c r="K39" s="159">
        <f>K14-K38</f>
        <v>47560.41</v>
      </c>
    </row>
    <row r="40" spans="2:11" ht="27" customHeight="1">
      <c r="B40" s="114"/>
      <c r="C40" s="180"/>
      <c r="D40" s="180"/>
      <c r="E40" s="180"/>
      <c r="F40" s="180"/>
      <c r="G40" s="180"/>
      <c r="H40" s="180"/>
      <c r="I40" s="181"/>
      <c r="J40" s="182"/>
      <c r="K40" s="183"/>
    </row>
    <row r="41" spans="3:7" ht="15.75">
      <c r="C41" s="33"/>
      <c r="G41" s="33"/>
    </row>
    <row r="42" spans="1:7" ht="15.75" customHeight="1">
      <c r="A42" s="79" t="s">
        <v>250</v>
      </c>
      <c r="D42" s="79"/>
      <c r="E42" s="79"/>
      <c r="F42" s="33"/>
      <c r="G42" s="33"/>
    </row>
    <row r="43" spans="2:4" ht="15.75">
      <c r="B43" s="33"/>
      <c r="C43" s="33"/>
      <c r="D43" s="33"/>
    </row>
    <row r="44" spans="2:4" ht="20.25" customHeight="1">
      <c r="B44" s="43" t="s">
        <v>72</v>
      </c>
      <c r="C44" s="43"/>
      <c r="D44" s="43"/>
    </row>
    <row r="45" spans="2:9" ht="20.25" customHeight="1">
      <c r="B45" s="33" t="s">
        <v>216</v>
      </c>
      <c r="C45" s="49"/>
      <c r="D45" s="49"/>
      <c r="E45" s="49"/>
      <c r="F45" s="49"/>
      <c r="G45" s="49"/>
      <c r="H45" s="49"/>
      <c r="I45" s="33"/>
    </row>
    <row r="46" spans="2:4" ht="15.75" customHeight="1">
      <c r="B46" s="196" t="s">
        <v>75</v>
      </c>
      <c r="C46" s="196"/>
      <c r="D46" s="196"/>
    </row>
  </sheetData>
  <mergeCells count="36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29:D29"/>
    <mergeCell ref="B31:D31"/>
    <mergeCell ref="B32:D32"/>
    <mergeCell ref="B25:D25"/>
    <mergeCell ref="B26:D26"/>
    <mergeCell ref="B27:D27"/>
    <mergeCell ref="B28:D28"/>
    <mergeCell ref="B22:D22"/>
    <mergeCell ref="B23:D23"/>
    <mergeCell ref="B24:D24"/>
    <mergeCell ref="B30:D30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A1:J1"/>
    <mergeCell ref="A2:J2"/>
    <mergeCell ref="B7:D7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7">
      <selection activeCell="F29" sqref="F29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9.875" style="0" bestFit="1" customWidth="1"/>
    <col min="9" max="9" width="11.625" style="0" customWidth="1"/>
    <col min="10" max="10" width="10.00390625" style="0" customWidth="1"/>
    <col min="11" max="11" width="9.125" style="0" customWidth="1"/>
    <col min="12" max="12" width="11.00390625" style="0" customWidth="1"/>
    <col min="13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2.75390625" style="0" customWidth="1"/>
    <col min="18" max="18" width="13.875" style="0" customWidth="1"/>
    <col min="19" max="19" width="11.875" style="0" customWidth="1"/>
  </cols>
  <sheetData>
    <row r="1" spans="1:19" ht="109.5" customHeight="1">
      <c r="A1" s="264" t="s">
        <v>220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5.75" customHeight="1">
      <c r="A2" s="244" t="s">
        <v>168</v>
      </c>
      <c r="B2" s="262" t="s">
        <v>169</v>
      </c>
      <c r="C2" s="262" t="s">
        <v>170</v>
      </c>
      <c r="D2" s="262"/>
      <c r="E2" s="262"/>
      <c r="F2" s="262"/>
      <c r="G2" s="262"/>
      <c r="H2" s="262"/>
      <c r="I2" s="262"/>
      <c r="J2" s="265" t="s">
        <v>171</v>
      </c>
      <c r="K2" s="265"/>
      <c r="L2" s="265"/>
      <c r="M2" s="266" t="s">
        <v>172</v>
      </c>
      <c r="N2" s="262" t="s">
        <v>173</v>
      </c>
      <c r="O2" s="262"/>
      <c r="P2" s="262"/>
      <c r="Q2" s="262"/>
      <c r="R2" s="262"/>
      <c r="S2" s="217" t="s">
        <v>214</v>
      </c>
    </row>
    <row r="3" spans="1:19" ht="15.75" customHeight="1">
      <c r="A3" s="262"/>
      <c r="B3" s="262"/>
      <c r="C3" s="219" t="s">
        <v>174</v>
      </c>
      <c r="D3" s="220"/>
      <c r="E3" s="221"/>
      <c r="F3" s="219" t="s">
        <v>175</v>
      </c>
      <c r="G3" s="220"/>
      <c r="H3" s="221"/>
      <c r="I3" s="244" t="s">
        <v>176</v>
      </c>
      <c r="J3" s="269" t="s">
        <v>177</v>
      </c>
      <c r="K3" s="271" t="s">
        <v>178</v>
      </c>
      <c r="L3" s="269" t="s">
        <v>179</v>
      </c>
      <c r="M3" s="267"/>
      <c r="N3" s="244" t="s">
        <v>180</v>
      </c>
      <c r="O3" s="262" t="s">
        <v>181</v>
      </c>
      <c r="P3" s="262" t="s">
        <v>182</v>
      </c>
      <c r="Q3" s="262" t="s">
        <v>183</v>
      </c>
      <c r="R3" s="262" t="s">
        <v>184</v>
      </c>
      <c r="S3" s="217"/>
    </row>
    <row r="4" spans="1:19" ht="47.25" customHeight="1">
      <c r="A4" s="262"/>
      <c r="B4" s="262"/>
      <c r="C4" s="11" t="s">
        <v>185</v>
      </c>
      <c r="D4" s="22" t="s">
        <v>183</v>
      </c>
      <c r="E4" s="22" t="s">
        <v>184</v>
      </c>
      <c r="F4" s="11" t="s">
        <v>185</v>
      </c>
      <c r="G4" s="22" t="s">
        <v>183</v>
      </c>
      <c r="H4" s="22" t="s">
        <v>184</v>
      </c>
      <c r="I4" s="244"/>
      <c r="J4" s="270"/>
      <c r="K4" s="272"/>
      <c r="L4" s="270"/>
      <c r="M4" s="268"/>
      <c r="N4" s="262"/>
      <c r="O4" s="262"/>
      <c r="P4" s="262"/>
      <c r="Q4" s="262"/>
      <c r="R4" s="262"/>
      <c r="S4" s="217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186</v>
      </c>
      <c r="F5" s="11">
        <v>6</v>
      </c>
      <c r="G5" s="22">
        <v>7</v>
      </c>
      <c r="H5" s="22" t="s">
        <v>187</v>
      </c>
      <c r="I5" s="11" t="s">
        <v>188</v>
      </c>
      <c r="J5" s="22">
        <v>10</v>
      </c>
      <c r="K5" s="22">
        <v>11</v>
      </c>
      <c r="L5" s="11">
        <v>12</v>
      </c>
      <c r="M5" s="11" t="s">
        <v>189</v>
      </c>
      <c r="N5" s="22">
        <v>14</v>
      </c>
      <c r="O5" s="11">
        <v>15</v>
      </c>
      <c r="P5" s="22">
        <v>16</v>
      </c>
      <c r="Q5" s="22">
        <v>17</v>
      </c>
      <c r="R5" s="11" t="s">
        <v>190</v>
      </c>
      <c r="S5" s="103" t="s">
        <v>191</v>
      </c>
    </row>
    <row r="6" spans="1:19" ht="15.75">
      <c r="A6" s="96"/>
      <c r="B6" s="58" t="s">
        <v>192</v>
      </c>
      <c r="C6" s="121">
        <f>'2008'!D9</f>
        <v>102059.17</v>
      </c>
      <c r="D6" s="121">
        <f>'2008'!D13</f>
        <v>6879.9</v>
      </c>
      <c r="E6" s="121">
        <f>SUM(C6:D6)</f>
        <v>108939.06999999999</v>
      </c>
      <c r="F6" s="121">
        <f>'2008'!D10</f>
        <v>95822.12</v>
      </c>
      <c r="G6" s="121">
        <f>'2008'!D14</f>
        <v>5713.44</v>
      </c>
      <c r="H6" s="121">
        <f>SUM(F6:G6)</f>
        <v>101535.56</v>
      </c>
      <c r="I6" s="122">
        <f>E6-H6</f>
        <v>7403.509999999995</v>
      </c>
      <c r="J6" s="121">
        <v>0</v>
      </c>
      <c r="K6" s="121">
        <v>0</v>
      </c>
      <c r="L6" s="121">
        <v>602356.71</v>
      </c>
      <c r="M6" s="121">
        <f>H6+J6+K6+L6</f>
        <v>703892.27</v>
      </c>
      <c r="N6" s="121">
        <f>'2008'!D23</f>
        <v>11226.5087</v>
      </c>
      <c r="O6" s="121">
        <f>'2008'!D24</f>
        <v>71441.419</v>
      </c>
      <c r="P6" s="121">
        <f>'2008'!D25</f>
        <v>91300</v>
      </c>
      <c r="Q6" s="184">
        <v>634059.7</v>
      </c>
      <c r="R6" s="96">
        <f>SUM(N6:Q6)</f>
        <v>808027.6277</v>
      </c>
      <c r="S6" s="96">
        <f>M6-R6</f>
        <v>-104135.35769999993</v>
      </c>
    </row>
    <row r="7" spans="1:19" ht="15.75">
      <c r="A7" s="96">
        <f>S6</f>
        <v>-104135.35769999993</v>
      </c>
      <c r="B7" s="58" t="s">
        <v>193</v>
      </c>
      <c r="C7" s="121">
        <f>'отчет 2009'!H10</f>
        <v>157161.64</v>
      </c>
      <c r="D7" s="121">
        <v>10394.72</v>
      </c>
      <c r="E7" s="121">
        <f>SUM(C7:D7)</f>
        <v>167556.36000000002</v>
      </c>
      <c r="F7" s="121">
        <f>'отчет 2009'!H13</f>
        <v>156236.72</v>
      </c>
      <c r="G7" s="121">
        <v>10259.86</v>
      </c>
      <c r="H7" s="121">
        <f>SUM(F7:G7)</f>
        <v>166496.58000000002</v>
      </c>
      <c r="I7" s="122">
        <f>E7-H7</f>
        <v>1059.7799999999988</v>
      </c>
      <c r="J7" s="121">
        <v>0</v>
      </c>
      <c r="K7" s="121">
        <v>0</v>
      </c>
      <c r="L7" s="121">
        <v>0</v>
      </c>
      <c r="M7" s="121">
        <f>H7+J7+K7+L7</f>
        <v>166496.58000000002</v>
      </c>
      <c r="N7" s="121">
        <f>'отчет 2009'!H31</f>
        <v>15742.85</v>
      </c>
      <c r="O7" s="121">
        <f>'отчет 2009'!H32-'отчет 2009'!H31</f>
        <v>125406.1</v>
      </c>
      <c r="P7" s="121">
        <f>'отчет 2009'!H33</f>
        <v>144800</v>
      </c>
      <c r="Q7" s="184">
        <v>148211</v>
      </c>
      <c r="R7" s="96">
        <f>SUM(N7:Q7)</f>
        <v>434159.95</v>
      </c>
      <c r="S7" s="96">
        <f>M7-R7</f>
        <v>-267663.37</v>
      </c>
    </row>
    <row r="8" spans="1:22" ht="15.75">
      <c r="A8" s="96">
        <f>A7+S7</f>
        <v>-371798.72769999993</v>
      </c>
      <c r="B8" s="58" t="s">
        <v>194</v>
      </c>
      <c r="C8" s="121">
        <v>164915.52</v>
      </c>
      <c r="D8" s="121">
        <v>10260.09</v>
      </c>
      <c r="E8" s="121">
        <f>SUM(C8:D8)</f>
        <v>175175.61</v>
      </c>
      <c r="F8" s="121">
        <f>'отчет 2010'!H10</f>
        <v>146780.73</v>
      </c>
      <c r="G8" s="121">
        <f>'отчет 2010'!H11</f>
        <v>9255.3</v>
      </c>
      <c r="H8" s="121">
        <f>SUM(F8:G8)</f>
        <v>156036.03</v>
      </c>
      <c r="I8" s="122">
        <f>E8-H8</f>
        <v>19139.579999999987</v>
      </c>
      <c r="J8" s="121">
        <f>'отчет 2010'!I12</f>
        <v>0</v>
      </c>
      <c r="K8" s="121">
        <v>0</v>
      </c>
      <c r="L8" s="121">
        <v>0</v>
      </c>
      <c r="M8" s="121">
        <f>H8+J8+K8+L8</f>
        <v>156036.03</v>
      </c>
      <c r="N8" s="121">
        <f>'отчет 2010'!J29</f>
        <v>16458.43</v>
      </c>
      <c r="O8" s="121">
        <f>'отчет 2010'!J34-'отчет 2010'!J29</f>
        <v>134791.81</v>
      </c>
      <c r="P8" s="121">
        <f>'отчет 2010'!H35</f>
        <v>48800</v>
      </c>
      <c r="Q8" s="184">
        <f>'отчет 2010'!H37</f>
        <v>0</v>
      </c>
      <c r="R8" s="96">
        <f>SUM(N8:Q8)</f>
        <v>200050.24</v>
      </c>
      <c r="S8" s="96">
        <f>M8-R8</f>
        <v>-44014.20999999999</v>
      </c>
      <c r="U8" s="104"/>
      <c r="V8" s="104"/>
    </row>
    <row r="9" spans="1:19" ht="15.75">
      <c r="A9" s="96">
        <f>A8+S8</f>
        <v>-415812.9376999999</v>
      </c>
      <c r="B9" s="58" t="s">
        <v>195</v>
      </c>
      <c r="C9" s="96">
        <v>189640.16</v>
      </c>
      <c r="D9" s="96">
        <v>11972.84</v>
      </c>
      <c r="E9" s="121">
        <f>SUM(C9:D9)</f>
        <v>201613</v>
      </c>
      <c r="F9" s="96">
        <f>'отчет 2011'!H10</f>
        <v>176556.75</v>
      </c>
      <c r="G9" s="96">
        <f>'отчет 2011'!H11</f>
        <v>11350.78</v>
      </c>
      <c r="H9" s="121">
        <f>SUM(F9:G9)</f>
        <v>187907.53</v>
      </c>
      <c r="I9" s="122">
        <f>E9-H9</f>
        <v>13705.470000000001</v>
      </c>
      <c r="J9" s="96">
        <f>'отчет 2011'!I12</f>
        <v>0</v>
      </c>
      <c r="K9" s="96">
        <f>'отчет 2011'!I13</f>
        <v>0</v>
      </c>
      <c r="L9" s="96">
        <f>'отчет 2011'!H13</f>
        <v>0</v>
      </c>
      <c r="M9" s="121">
        <f>H9+J9+K9+L9</f>
        <v>187907.53</v>
      </c>
      <c r="N9" s="96">
        <f>'отчет 2011'!J29</f>
        <v>18962.98</v>
      </c>
      <c r="O9" s="96">
        <f>'отчет 2011'!J32-'отчет 2011'!J29</f>
        <v>152964.34</v>
      </c>
      <c r="P9" s="96">
        <f>'отчет 2011'!H36</f>
        <v>10949</v>
      </c>
      <c r="Q9" s="185">
        <f>'отчет 2011'!H38</f>
        <v>0</v>
      </c>
      <c r="R9" s="96">
        <f>SUM(N9:Q9)</f>
        <v>182876.32</v>
      </c>
      <c r="S9" s="96">
        <f>M9-R9</f>
        <v>5031.209999999992</v>
      </c>
    </row>
    <row r="10" spans="1:19" ht="15.75">
      <c r="A10" s="96">
        <f>A9+S9</f>
        <v>-410781.72769999993</v>
      </c>
      <c r="B10" s="58" t="s">
        <v>196</v>
      </c>
      <c r="C10" s="96">
        <v>193830.18</v>
      </c>
      <c r="D10" s="96">
        <v>12299.22</v>
      </c>
      <c r="E10" s="121">
        <f>SUM(C10:D10)</f>
        <v>206129.4</v>
      </c>
      <c r="F10" s="96">
        <f>отчет12стар!I10</f>
        <v>209849.35</v>
      </c>
      <c r="G10" s="96">
        <f>отчет12стар!I11</f>
        <v>12900.68</v>
      </c>
      <c r="H10" s="121">
        <f>SUM(F10:G10)</f>
        <v>222750.03</v>
      </c>
      <c r="I10" s="122">
        <f>E10-H10</f>
        <v>-16620.630000000005</v>
      </c>
      <c r="J10" s="96">
        <f>отчет12стар!J12</f>
        <v>0</v>
      </c>
      <c r="K10" s="96">
        <v>0</v>
      </c>
      <c r="L10" s="96">
        <v>0</v>
      </c>
      <c r="M10" s="121">
        <f>H10+J10+K10+L10</f>
        <v>222750.03</v>
      </c>
      <c r="N10" s="96">
        <f>отчет12стар!K29</f>
        <v>19499.67</v>
      </c>
      <c r="O10" s="96">
        <f>отчет12стар!K31-отчет12стар!K29</f>
        <v>155689.95</v>
      </c>
      <c r="P10" s="96">
        <f>отчет12стар!I35</f>
        <v>0</v>
      </c>
      <c r="Q10" s="185">
        <f>отчет12стар!I37</f>
        <v>0</v>
      </c>
      <c r="R10" s="96">
        <f>SUM(N10:Q10)</f>
        <v>175189.62</v>
      </c>
      <c r="S10" s="96">
        <f>M10-R10</f>
        <v>47560.41</v>
      </c>
    </row>
    <row r="11" spans="1:19" ht="15.75">
      <c r="A11" s="34"/>
      <c r="B11" s="58" t="s">
        <v>197</v>
      </c>
      <c r="C11" s="30">
        <f aca="true" t="shared" si="0" ref="C11:S11">SUM(C6:C10)</f>
        <v>807606.6699999999</v>
      </c>
      <c r="D11" s="30">
        <f t="shared" si="0"/>
        <v>51806.770000000004</v>
      </c>
      <c r="E11" s="30">
        <f t="shared" si="0"/>
        <v>859413.4400000001</v>
      </c>
      <c r="F11" s="30">
        <f t="shared" si="0"/>
        <v>785245.67</v>
      </c>
      <c r="G11" s="30">
        <f t="shared" si="0"/>
        <v>49480.06</v>
      </c>
      <c r="H11" s="30">
        <f t="shared" si="0"/>
        <v>834725.7300000001</v>
      </c>
      <c r="I11" s="30">
        <f t="shared" si="0"/>
        <v>24687.709999999977</v>
      </c>
      <c r="J11" s="30">
        <f t="shared" si="0"/>
        <v>0</v>
      </c>
      <c r="K11" s="30">
        <f t="shared" si="0"/>
        <v>0</v>
      </c>
      <c r="L11" s="30">
        <f t="shared" si="0"/>
        <v>602356.71</v>
      </c>
      <c r="M11" s="30">
        <f t="shared" si="0"/>
        <v>1437082.4400000002</v>
      </c>
      <c r="N11" s="30">
        <f t="shared" si="0"/>
        <v>81890.4387</v>
      </c>
      <c r="O11" s="30">
        <f t="shared" si="0"/>
        <v>640293.619</v>
      </c>
      <c r="P11" s="30">
        <f t="shared" si="0"/>
        <v>295849</v>
      </c>
      <c r="Q11" s="186">
        <f t="shared" si="0"/>
        <v>782270.7</v>
      </c>
      <c r="R11" s="30">
        <f t="shared" si="0"/>
        <v>1800303.7577</v>
      </c>
      <c r="S11" s="30">
        <f t="shared" si="0"/>
        <v>-363221.3176999999</v>
      </c>
    </row>
    <row r="14" spans="1:8" ht="18.75" customHeight="1">
      <c r="A14" s="273" t="s">
        <v>251</v>
      </c>
      <c r="B14" s="273"/>
      <c r="C14" s="273"/>
      <c r="D14" s="273"/>
      <c r="E14" s="273" t="s">
        <v>252</v>
      </c>
      <c r="F14" s="273"/>
      <c r="G14" s="273"/>
      <c r="H14" s="273"/>
    </row>
    <row r="15" spans="1:8" ht="18.75">
      <c r="A15" s="187"/>
      <c r="B15" s="187"/>
      <c r="C15" s="187"/>
      <c r="D15" s="187"/>
      <c r="E15" s="187"/>
      <c r="F15" s="187"/>
      <c r="G15" s="187"/>
      <c r="H15" s="187"/>
    </row>
    <row r="16" spans="1:8" ht="18.75">
      <c r="A16" s="188"/>
      <c r="B16" s="189"/>
      <c r="C16" s="189"/>
      <c r="D16" s="188"/>
      <c r="E16" s="188"/>
      <c r="F16" s="188"/>
      <c r="G16" s="188"/>
      <c r="H16" s="188"/>
    </row>
    <row r="17" spans="1:8" ht="18.75">
      <c r="A17" s="187" t="s">
        <v>253</v>
      </c>
      <c r="B17" s="187"/>
      <c r="C17" s="187"/>
      <c r="D17" s="188"/>
      <c r="E17" s="188"/>
      <c r="F17" s="188"/>
      <c r="G17" s="188"/>
      <c r="H17" s="188"/>
    </row>
    <row r="18" spans="1:8" ht="18.75">
      <c r="A18" s="187" t="s">
        <v>254</v>
      </c>
      <c r="B18" s="187"/>
      <c r="C18" s="187"/>
      <c r="D18" s="187"/>
      <c r="E18" s="187"/>
      <c r="F18" s="188"/>
      <c r="G18" s="188"/>
      <c r="H18" s="188"/>
    </row>
    <row r="19" spans="1:8" ht="18.75" customHeight="1">
      <c r="A19" s="196" t="s">
        <v>255</v>
      </c>
      <c r="B19" s="196"/>
      <c r="C19" s="196"/>
      <c r="D19" s="33"/>
      <c r="E19" s="273" t="s">
        <v>256</v>
      </c>
      <c r="F19" s="273"/>
      <c r="G19" s="273"/>
      <c r="H19" s="188"/>
    </row>
    <row r="20" spans="1:8" ht="15.75">
      <c r="A20" s="188"/>
      <c r="B20" s="188"/>
      <c r="C20" s="188"/>
      <c r="D20" s="188"/>
      <c r="E20" s="188"/>
      <c r="F20" s="188"/>
      <c r="G20" s="188"/>
      <c r="H20" s="188"/>
    </row>
    <row r="21" spans="1:8" ht="15.75">
      <c r="A21" s="188"/>
      <c r="B21" s="188"/>
      <c r="C21" s="188"/>
      <c r="D21" s="188"/>
      <c r="E21" s="188"/>
      <c r="F21" s="188"/>
      <c r="G21" s="188"/>
      <c r="H21" s="188"/>
    </row>
    <row r="22" spans="1:8" ht="15.75">
      <c r="A22" s="188"/>
      <c r="B22" s="188"/>
      <c r="C22" s="188"/>
      <c r="D22" s="188"/>
      <c r="E22" s="188"/>
      <c r="F22" s="188"/>
      <c r="G22" s="188"/>
      <c r="H22" s="188"/>
    </row>
    <row r="23" spans="1:8" ht="15.75">
      <c r="A23" s="188" t="s">
        <v>257</v>
      </c>
      <c r="B23" s="188"/>
      <c r="C23" s="188"/>
      <c r="D23" s="188"/>
      <c r="E23" s="188"/>
      <c r="F23" s="188"/>
      <c r="G23" s="188"/>
      <c r="H23" s="188"/>
    </row>
  </sheetData>
  <sheetProtection/>
  <mergeCells count="23">
    <mergeCell ref="A14:D14"/>
    <mergeCell ref="E14:H14"/>
    <mergeCell ref="A19:C19"/>
    <mergeCell ref="E19:G19"/>
    <mergeCell ref="R3:R4"/>
    <mergeCell ref="N3:N4"/>
    <mergeCell ref="O3:O4"/>
    <mergeCell ref="P3:P4"/>
    <mergeCell ref="Q3:Q4"/>
    <mergeCell ref="I3:I4"/>
    <mergeCell ref="J3:J4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2013-03-15T05:46:07Z</cp:lastPrinted>
  <dcterms:created xsi:type="dcterms:W3CDTF">2009-08-26T03:25:10Z</dcterms:created>
  <dcterms:modified xsi:type="dcterms:W3CDTF">2013-03-28T10:14:17Z</dcterms:modified>
  <cp:category/>
  <cp:version/>
  <cp:contentType/>
  <cp:contentStatus/>
</cp:coreProperties>
</file>