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firstSheet="6" activeTab="6"/>
  </bookViews>
  <sheets>
    <sheet name="2008" sheetId="1" r:id="rId1"/>
    <sheet name="отчет 2009" sheetId="2" r:id="rId2"/>
    <sheet name="отчет 2010" sheetId="3" r:id="rId3"/>
    <sheet name="смета 2011" sheetId="4" state="hidden" r:id="rId4"/>
    <sheet name="отчет 2011" sheetId="5" state="hidden" r:id="rId5"/>
    <sheet name="смета 2012" sheetId="6" state="hidden" r:id="rId6"/>
    <sheet name="отчет12стар" sheetId="7" r:id="rId7"/>
    <sheet name="накопит" sheetId="8" state="hidden" r:id="rId8"/>
  </sheets>
  <definedNames>
    <definedName name="_xlnm.Print_Area" localSheetId="5">'смета 2012'!$A$1:$I$36</definedName>
  </definedNames>
  <calcPr fullCalcOnLoad="1"/>
</workbook>
</file>

<file path=xl/sharedStrings.xml><?xml version="1.0" encoding="utf-8"?>
<sst xmlns="http://schemas.openxmlformats.org/spreadsheetml/2006/main" count="637" uniqueCount="245">
  <si>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</si>
  <si>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</si>
  <si>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</si>
  <si>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</si>
  <si>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</si>
  <si>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</si>
  <si>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</si>
  <si>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</si>
  <si>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</si>
  <si>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</si>
  <si>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</si>
  <si>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</si>
  <si>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</si>
  <si>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</si>
  <si>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</si>
  <si>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</si>
  <si>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</si>
  <si>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</si>
  <si>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</si>
  <si>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</si>
  <si>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</si>
  <si>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</si>
  <si>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</si>
  <si>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</si>
  <si>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</si>
  <si>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</si>
  <si>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</si>
  <si>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</si>
  <si>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</si>
  <si>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</si>
  <si>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</si>
  <si>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</si>
  <si>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</si>
  <si>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</si>
  <si>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</si>
  <si>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 xml:space="preserve">Содержание придомовой территории 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</si>
  <si>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</si>
  <si>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</si>
  <si>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</si>
  <si>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</si>
  <si>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</si>
  <si>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</si>
  <si>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</si>
  <si>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</si>
  <si>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</si>
  <si>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</si>
  <si>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</si>
  <si>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</si>
  <si>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</si>
  <si>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 xml:space="preserve"> 5.1.9</t>
  </si>
  <si>
    <t>5.1.10.</t>
  </si>
  <si>
    <t xml:space="preserve"> 5.1.11</t>
  </si>
  <si>
    <t>5.1.12.</t>
  </si>
  <si>
    <t xml:space="preserve"> 5.1.13.</t>
  </si>
  <si>
    <t>5.1.14.</t>
  </si>
  <si>
    <t>5.1.15.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</si>
  <si>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</si>
  <si>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</si>
  <si>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</si>
  <si>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</si>
  <si>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</si>
  <si>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</si>
  <si>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</si>
  <si>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</si>
  <si>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</si>
  <si>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</si>
  <si>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 xml:space="preserve"> Долг (+), переплата (-) на 01.01.2009г.</t>
  </si>
  <si>
    <t xml:space="preserve"> -  за содержание</t>
  </si>
  <si>
    <t xml:space="preserve"> -  за  текущий ремонт </t>
  </si>
  <si>
    <t xml:space="preserve"> - долг (+), переплата (-)  за 2009 год</t>
  </si>
  <si>
    <t xml:space="preserve"> Долг (+), переплата (-) на 01.01.2010г.</t>
  </si>
  <si>
    <t xml:space="preserve">Финансовый результат за 2008г. (+ экономия,- перерасход)                                                      </t>
  </si>
  <si>
    <t xml:space="preserve">Финансовый результат за 2009г. (+ экономия,- перерасход),   гр.2  -  гр.5.3                                                 </t>
  </si>
  <si>
    <t xml:space="preserve">Финансовый результат на 01.01.2010г. (+ экономия,- перерасход) , гр.6.1.+  гр.6.2.                                                   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</si>
  <si>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</si>
  <si>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</si>
  <si>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</si>
  <si>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ООО "ОЖКС № 1"</t>
  </si>
  <si>
    <t xml:space="preserve">Директор ООО "ОЖКС № 1"                                                                                                                   И.А. Ломов                                  </t>
  </si>
  <si>
    <t>Принято:</t>
  </si>
  <si>
    <t>Адрес:</t>
  </si>
  <si>
    <t>Противопожарные мероприятия:  содержание и обслуживание вентканалов и шахт</t>
  </si>
  <si>
    <t>Претензий по управлению нет (да)</t>
  </si>
  <si>
    <t>есть</t>
  </si>
  <si>
    <t>пр. Ленина, 19</t>
  </si>
  <si>
    <t xml:space="preserve">        Представитель собственников  - старший по дому Петренко Г.Ю., с одной стороны и Общество с Ограниченной Ответственностью "Октябрьский Жилкомсервис № 1" в лице директора Ломова И.А., действующей на основании Устава,  с другой стороны, составили настоящий отчет о выполненных работах  в  2009г.      </t>
  </si>
  <si>
    <t xml:space="preserve">Старший по дому                                                                                                                                       Г.Ю. Петренко                        </t>
  </si>
  <si>
    <t>ОТЧЕТ
за  2009 г. о выполненнии условий  договора управления МКД   
№ 316/1 от 28.03.2008 г.,  заключенного между ООО "ОЖКС № 1" 
и собственниками многоквартирного дома
по адресу:  пр. Ленина, 19</t>
  </si>
  <si>
    <t>ОТЧЕТ
о выполненных работах в 2008 году по договору управления МКД 
№ 358 от 28.03.2008 г., заключенного между ООО "ОЖКС №1" и собственниками многоквартирного дома
по адресу:  пр. Ленина, 19</t>
  </si>
  <si>
    <t xml:space="preserve">        Представитель собственников  - старший по дому Петренко Г.Ю., с одной стороны и Общество с Ограниченной Ответственностью "Октябрьский Жилкомсервис № 1" в лице директора Ломова И.А.,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</si>
  <si>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</si>
  <si>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</si>
  <si>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</si>
  <si>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с кап.ремонтом</t>
  </si>
  <si>
    <t>без кап. ремонта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</si>
  <si>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</si>
  <si>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</si>
  <si>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</si>
  <si>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</si>
  <si>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</si>
  <si>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</si>
  <si>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</si>
  <si>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</si>
  <si>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</si>
  <si>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</si>
  <si>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</si>
  <si>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</si>
  <si>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</si>
  <si>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</si>
  <si>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</si>
  <si>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</si>
  <si>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</si>
  <si>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</si>
  <si>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4.3</t>
  </si>
  <si>
    <t>Найм: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</si>
  <si>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</si>
  <si>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</si>
  <si>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</si>
  <si>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</si>
  <si>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</si>
  <si>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 xml:space="preserve">Управление жилищным фондом 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</si>
  <si>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</si>
  <si>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</si>
  <si>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</si>
  <si>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</si>
  <si>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 xml:space="preserve"> 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</si>
  <si>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</si>
  <si>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</si>
  <si>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</si>
  <si>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</si>
  <si>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</si>
  <si>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 xml:space="preserve">      Директор ООО "ОЖКС № 1"                                                                    И.А. Ломов                                  </t>
  </si>
  <si>
    <t xml:space="preserve">Старший по дому                                                                                        Г.Ю. Петренко                        </t>
  </si>
  <si>
    <t>Стоимость работ
руб.</t>
  </si>
  <si>
    <t>Расчеты с населением по планируемому тарифу</t>
  </si>
  <si>
    <t xml:space="preserve">    - ожидаемый сбор на капитальный ремонт</t>
  </si>
  <si>
    <t>1 раз/неделю - подметание
1 раз/месяц 
влажная уборка</t>
  </si>
  <si>
    <t>2.1.</t>
  </si>
  <si>
    <t>2.2.</t>
  </si>
  <si>
    <t>2.3.</t>
  </si>
  <si>
    <t xml:space="preserve">S нежилых </t>
  </si>
  <si>
    <t xml:space="preserve">помещений, 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</si>
  <si>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</si>
  <si>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</si>
  <si>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</si>
  <si>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</si>
  <si>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</si>
  <si>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</si>
  <si>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</si>
  <si>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</si>
  <si>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</si>
  <si>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</si>
  <si>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</si>
  <si>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</si>
  <si>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</si>
  <si>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</si>
  <si>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ООО "ОЖКС № 6"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</si>
  <si>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</si>
  <si>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</si>
  <si>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</si>
  <si>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</si>
  <si>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</si>
  <si>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</si>
  <si>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</si>
  <si>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 xml:space="preserve">Финансовый результат за 2010г. (+ экономия,- перерасход)                                                      </t>
  </si>
  <si>
    <t xml:space="preserve">Директор ООО "ОЖКС № 1"                                                                                 И.А. Ломов                                  </t>
  </si>
  <si>
    <t>Сальдо
 на 01.01
+экономия
-перерасход</t>
  </si>
  <si>
    <t>год</t>
  </si>
  <si>
    <t>взаимоотношения с населением по утвержденному тарифу, руб.</t>
  </si>
  <si>
    <t>прочие доходы, руб.</t>
  </si>
  <si>
    <t>ИТОГО
ДОХОДОВ</t>
  </si>
  <si>
    <t>выполнено работ, руб.</t>
  </si>
  <si>
    <t>начислено</t>
  </si>
  <si>
    <t>оплачено</t>
  </si>
  <si>
    <t>результат
(+долг, 
-перепл.)</t>
  </si>
  <si>
    <t>аренда
торы</t>
  </si>
  <si>
    <t>антенны</t>
  </si>
  <si>
    <t>управ
ление</t>
  </si>
  <si>
    <t>обслуж.</t>
  </si>
  <si>
    <t>тек. рем.</t>
  </si>
  <si>
    <t>кап.рем.</t>
  </si>
  <si>
    <t>итого</t>
  </si>
  <si>
    <t>обслуж.
+ тек.р.</t>
  </si>
  <si>
    <t>5=3+4</t>
  </si>
  <si>
    <t>8=6+7</t>
  </si>
  <si>
    <t>9=5-8</t>
  </si>
  <si>
    <t>13=
8+10+11+12</t>
  </si>
  <si>
    <t>18=14+15+
16+17</t>
  </si>
  <si>
    <t>19=13-18</t>
  </si>
  <si>
    <t>2008г</t>
  </si>
  <si>
    <t>2009г</t>
  </si>
  <si>
    <t>2010г</t>
  </si>
  <si>
    <t>2011г</t>
  </si>
  <si>
    <t>2012г</t>
  </si>
  <si>
    <t>Итого</t>
  </si>
  <si>
    <t>Тариф на 
1 кв.м.
руб.</t>
  </si>
  <si>
    <t xml:space="preserve"> - ожидаемый сбор на содержание и текущий ремонт общего имущества жилого дома</t>
  </si>
  <si>
    <t>по договору</t>
  </si>
  <si>
    <t>Обслуживание  бойлеров</t>
  </si>
  <si>
    <t xml:space="preserve"> Текущий ремонт общего имущества  (см. приложение)</t>
  </si>
  <si>
    <t>ООО  "ОЖКС № 6"</t>
  </si>
  <si>
    <t>Всего затрат:</t>
  </si>
  <si>
    <t>Капитальный ремонт  (см. приложение)</t>
  </si>
  <si>
    <t xml:space="preserve"> </t>
  </si>
  <si>
    <t xml:space="preserve">   </t>
  </si>
  <si>
    <t xml:space="preserve">                  Представитель собственников  - старший по дому Петренко Г.Ю., с одной стороны и Общество с Ограниченной Ответственностью "Октябрьский Жилкомсервис № 1" в лице директора Ломова И.А., действующей на основании Устава,  с другой стороны, составили настоящий отчет о выполненных работах в 2010 году.  </t>
  </si>
  <si>
    <t>ОТЧЕТ
за  2010 г. о выполненнии условий  договора управления МКД 
№ 316/1 от 28.03.2008 г.,  заключенного между ООО "ОЖКС № 1" 
и собственниками многоквартирного дома
по адресу:  пр. Ленина, 19</t>
  </si>
  <si>
    <t xml:space="preserve">Старший по дому                                                                                   Г.Ю. Петренко                        </t>
  </si>
  <si>
    <t>Смета
расходов и доходов  на  2011 г.
по договору управления МКД 
№ 316/1 от 28.03.2008 г.,  заключенного между ООО "ОЖКС № 1" 
и собственниками многоквартирного дома
по адресу:  пр. Ленина, 19</t>
  </si>
  <si>
    <t>Сбор, вывоз  бытового мусора, содержание  контейнерные площадки</t>
  </si>
  <si>
    <t>результат
 за год
(+эконом., 
-перерасх.)</t>
  </si>
  <si>
    <t xml:space="preserve">бюджетные
средства </t>
  </si>
  <si>
    <t xml:space="preserve">Финансовый результат за 2011г. (+ экономия,- перерасход)                                                      </t>
  </si>
  <si>
    <t xml:space="preserve">                  Представитель собственников  - старший по дому ________________________, с одной стороны и Общество с Ограниченной Ответственностью "Октябрьский Жилкомсервис № 1" в лице директора ____________________________________, действующей на основании Устава,  с другой стороны, составили настоящий отчет о выполненных работах в 2011 году.  </t>
  </si>
  <si>
    <t>ОТЧЕТ
за  2011 г. о выполненнии условий  договора управления МКД 
№ 358/1 от 28.03.2008 г.,  заключенного между ООО "ОЖКС № 1" 
и собственниками многоквартирного дома
по адресу:  пр. Ленина, 19</t>
  </si>
  <si>
    <t>Директор ООО "ОЖКС № 1"                                                    ___________________</t>
  </si>
  <si>
    <t>Старший по дому                                                           __________________________</t>
  </si>
  <si>
    <t>ОТЧЕТ
по  договору управления МКД 
№ 358/1 от 28.03.2008 г., заключенного между ООО "ОЖКС № 1" 
и собственниками многоквартирного дома
по адресу:  пр. Ленина, 19</t>
  </si>
  <si>
    <t xml:space="preserve">Капитальный ремонт  </t>
  </si>
  <si>
    <t>По заявлению жителей в подъезде № 2 кв. 17-32 уборка лестнечних клеток непроизводится с 01.11.10г</t>
  </si>
  <si>
    <t>Директор ООО "ОЖКС № 1"                                             А.В. Яроцкова</t>
  </si>
  <si>
    <t xml:space="preserve"> (по плану работ)</t>
  </si>
  <si>
    <t xml:space="preserve"> Текущий ремонт общего имущества                     (по плану работ)</t>
  </si>
  <si>
    <t>Смета
расходов и доходов  на  2012 г. МКД 
по адресу:  г. Орск, пр. Ленина, 19</t>
  </si>
  <si>
    <t>Справочно: индекс увеличения тарифа по году 103%:
- с 1 января 2012 г. Тариф остается на уровне 2011 г. -10.58 руб.
- с 1 июля 2012 г. к тарифу применен индекс 106% - 11.21 руб.</t>
  </si>
  <si>
    <t>ОТЧЕТ
за  2012 г. о выполненнии условий  договора управления МКД 
№ 358/1 от 28.03.2008 г.,  заключенного между ООО "ОЖКС № 1" 
и собственниками многоквартирного дома
по адресу:  пр. Ленина, 19</t>
  </si>
  <si>
    <t xml:space="preserve">                  Представитель собственников  - старший по дому ________________________, с одной стороны и Общество с Ограниченной Ответственностью "Октябрьский Жилкомсервис № 1" в лице директора Зенгер Д.В., действующей на основании Устава,  с другой стороны, составили настоящий отчет о выполненных работах в 2012 году.  </t>
  </si>
  <si>
    <t>64, 1 нежилое помещение</t>
  </si>
  <si>
    <t>S жилых и нежилых помещений, кв.м</t>
  </si>
  <si>
    <t>Тариф 01.01.12г-31.06.12г</t>
  </si>
  <si>
    <t>Тариф 01.07.12г.-31.12.12г.</t>
  </si>
  <si>
    <t>Сумма за 2012, 
руб.</t>
  </si>
  <si>
    <t>кол-во мес. по дог. управления</t>
  </si>
  <si>
    <t>Сбор, вывоз бытового мусора</t>
  </si>
  <si>
    <t>подметание асфальта -   1 раз/неделю,                
подбор мусора - ежедневно</t>
  </si>
  <si>
    <t>ООО "ОЖКС № 5"</t>
  </si>
  <si>
    <t xml:space="preserve">Финансовый результат за с 01.01.12 г по 31.12.12г (+ экономия,- перерасход)                                                      </t>
  </si>
  <si>
    <t xml:space="preserve">Директор ООО "ОЖКС № 1"                                               Д.В.Зенгер                      </t>
  </si>
  <si>
    <t xml:space="preserve">Директор ООО "ОЖКС № 1"                                 </t>
  </si>
  <si>
    <t>____________ Д.В. Зенгер</t>
  </si>
  <si>
    <t xml:space="preserve">Финансовый результат </t>
  </si>
  <si>
    <t>по договору управления подтверждаю:</t>
  </si>
  <si>
    <t>Старший по дому                                                                   _____________________</t>
  </si>
  <si>
    <t>_______________/________/</t>
  </si>
  <si>
    <t>Исполнитель: Стыценкова И.А.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</si>
</sst>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  <numFmt numFmtId="171" formatCode="0.0"/>
  </numFmts>
  <fonts count="12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1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/>
    </xf>
    <xf numFmtId="164" fontId="2" fillId="2" borderId="1" xfId="0" applyNumberFormat="1" applyFont="1" applyFill="1" applyBorder="1" applyAlignment="1">
      <alignment vertical="center"/>
    </xf>
    <xf numFmtId="4" fontId="0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4" fontId="0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/>
    </xf>
    <xf numFmtId="4" fontId="0" fillId="3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/>
    </xf>
    <xf numFmtId="4" fontId="0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3" fontId="0" fillId="0" borderId="0" xfId="0" applyNumberFormat="1" applyFont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16" fontId="2" fillId="0" borderId="4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6" fontId="0" fillId="0" borderId="4" xfId="0" applyNumberForma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16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center"/>
    </xf>
    <xf numFmtId="16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8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/>
    </xf>
    <xf numFmtId="14" fontId="2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4" fontId="10" fillId="0" borderId="6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 shrinkToFit="1"/>
    </xf>
    <xf numFmtId="0" fontId="2" fillId="0" borderId="0" xfId="0" applyFont="1" applyAlignment="1">
      <alignment wrapText="1"/>
    </xf>
    <xf numFmtId="4" fontId="0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4" fontId="0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2" fontId="0" fillId="0" borderId="1" xfId="0" applyNumberForma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70" fontId="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0" fillId="0" borderId="1" xfId="0" applyFont="1" applyFill="1" applyBorder="1" applyAlignment="1">
      <alignment horizontal="left" vertical="center" wrapText="1" indent="1"/>
    </xf>
    <xf numFmtId="0" fontId="0" fillId="0" borderId="1" xfId="0" applyFont="1" applyBorder="1" applyAlignment="1">
      <alignment horizontal="left" vertical="center" wrapText="1" indent="1"/>
    </xf>
    <xf numFmtId="0" fontId="0" fillId="0" borderId="1" xfId="0" applyFont="1" applyBorder="1" applyAlignment="1">
      <alignment horizontal="left" wrapText="1" indent="1"/>
    </xf>
    <xf numFmtId="0" fontId="0" fillId="0" borderId="1" xfId="0" applyFont="1" applyBorder="1" applyAlignment="1">
      <alignment horizontal="left" indent="1"/>
    </xf>
    <xf numFmtId="0" fontId="0" fillId="2" borderId="1" xfId="0" applyFont="1" applyFill="1" applyBorder="1" applyAlignment="1">
      <alignment horizontal="left" vertical="center" wrapText="1" indent="1"/>
    </xf>
    <xf numFmtId="0" fontId="0" fillId="0" borderId="1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left" inden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0" fontId="2" fillId="0" borderId="0" xfId="0" applyFont="1" applyAlignment="1">
      <alignment horizontal="justify" vertical="center" wrapText="1" shrinkToFit="1"/>
    </xf>
    <xf numFmtId="0" fontId="0" fillId="0" borderId="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justify"/>
    </xf>
    <xf numFmtId="0" fontId="0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7">
      <selection activeCell="E16" sqref="E1:E16384"/>
    </sheetView>
  </sheetViews>
  <sheetFormatPr defaultColWidth="9.00390625" defaultRowHeight="15.75"/>
  <cols>
    <col min="1" max="1" width="4.875" style="0" customWidth="1"/>
    <col min="2" max="2" width="63.375" style="0" customWidth="1"/>
    <col min="3" max="3" width="7.00390625" style="0" customWidth="1"/>
    <col min="4" max="4" width="12.75390625" style="0" customWidth="1"/>
    <col min="5" max="5" width="14.00390625" style="0" hidden="1" customWidth="1"/>
  </cols>
  <sheetData>
    <row r="1" spans="1:4" ht="104.25" customHeight="1">
      <c r="A1" s="185" t="s">
        <v>88</v>
      </c>
      <c r="B1" s="185"/>
      <c r="C1" s="185"/>
      <c r="D1" s="185"/>
    </row>
    <row r="2" spans="1:4" ht="87.75" customHeight="1">
      <c r="A2" s="186" t="s">
        <v>89</v>
      </c>
      <c r="B2" s="186"/>
      <c r="C2" s="186"/>
      <c r="D2" s="186"/>
    </row>
    <row r="3" spans="1:5" ht="39" customHeight="1">
      <c r="A3" s="22" t="s">
        <v>90</v>
      </c>
      <c r="B3" s="22" t="s">
        <v>91</v>
      </c>
      <c r="C3" s="11" t="s">
        <v>92</v>
      </c>
      <c r="D3" s="48" t="s">
        <v>93</v>
      </c>
      <c r="E3" s="48" t="s">
        <v>94</v>
      </c>
    </row>
    <row r="4" spans="1:5" ht="18.75" customHeight="1">
      <c r="A4" s="49" t="s">
        <v>95</v>
      </c>
      <c r="B4" s="50" t="s">
        <v>96</v>
      </c>
      <c r="C4" s="11" t="s">
        <v>97</v>
      </c>
      <c r="D4" s="51">
        <v>5</v>
      </c>
      <c r="E4" s="51">
        <v>5</v>
      </c>
    </row>
    <row r="5" spans="1:5" ht="15.75">
      <c r="A5" s="52" t="s">
        <v>98</v>
      </c>
      <c r="B5" s="53" t="s">
        <v>99</v>
      </c>
      <c r="C5" s="54" t="s">
        <v>100</v>
      </c>
      <c r="D5" s="55">
        <v>2542.9</v>
      </c>
      <c r="E5" s="55">
        <v>2542.9</v>
      </c>
    </row>
    <row r="6" spans="1:5" ht="15.75">
      <c r="A6" s="52" t="s">
        <v>101</v>
      </c>
      <c r="B6" s="53" t="s">
        <v>102</v>
      </c>
      <c r="C6" s="54" t="s">
        <v>97</v>
      </c>
      <c r="D6" s="56">
        <v>64</v>
      </c>
      <c r="E6" s="56">
        <v>64</v>
      </c>
    </row>
    <row r="7" spans="1:5" ht="15.75">
      <c r="A7" s="52" t="s">
        <v>103</v>
      </c>
      <c r="B7" s="53" t="s">
        <v>104</v>
      </c>
      <c r="C7" s="47"/>
      <c r="D7" s="55"/>
      <c r="E7" s="55"/>
    </row>
    <row r="8" spans="1:5" ht="15.75">
      <c r="A8" s="57" t="s">
        <v>105</v>
      </c>
      <c r="B8" s="53" t="s">
        <v>106</v>
      </c>
      <c r="C8" s="47"/>
      <c r="D8" s="55"/>
      <c r="E8" s="55"/>
    </row>
    <row r="9" spans="1:5" ht="17.25" customHeight="1">
      <c r="A9" s="58"/>
      <c r="B9" s="34" t="s">
        <v>107</v>
      </c>
      <c r="C9" s="47" t="s">
        <v>108</v>
      </c>
      <c r="D9" s="55">
        <v>187473.74</v>
      </c>
      <c r="E9" s="55">
        <v>187473.74</v>
      </c>
    </row>
    <row r="10" spans="1:5" ht="16.5" customHeight="1">
      <c r="A10" s="58"/>
      <c r="B10" s="34" t="s">
        <v>109</v>
      </c>
      <c r="C10" s="47" t="s">
        <v>108</v>
      </c>
      <c r="D10" s="55">
        <v>173231.94</v>
      </c>
      <c r="E10" s="55">
        <v>173231.94</v>
      </c>
    </row>
    <row r="11" spans="1:5" ht="15.75">
      <c r="A11" s="58"/>
      <c r="B11" s="53" t="s">
        <v>110</v>
      </c>
      <c r="C11" s="54" t="s">
        <v>108</v>
      </c>
      <c r="D11" s="59">
        <f>D9-D10</f>
        <v>14241.799999999988</v>
      </c>
      <c r="E11" s="59">
        <f>E9-E10</f>
        <v>14241.799999999988</v>
      </c>
    </row>
    <row r="12" spans="1:5" ht="18" customHeight="1">
      <c r="A12" s="57" t="s">
        <v>111</v>
      </c>
      <c r="B12" s="53" t="s">
        <v>112</v>
      </c>
      <c r="C12" s="47"/>
      <c r="D12" s="55"/>
      <c r="E12" s="55"/>
    </row>
    <row r="13" spans="1:5" ht="15.75">
      <c r="A13" s="58"/>
      <c r="B13" s="34" t="s">
        <v>107</v>
      </c>
      <c r="C13" s="47" t="s">
        <v>108</v>
      </c>
      <c r="D13" s="55">
        <v>12278.91</v>
      </c>
      <c r="E13" s="55">
        <v>0</v>
      </c>
    </row>
    <row r="14" spans="1:5" ht="15.75" customHeight="1">
      <c r="A14" s="58"/>
      <c r="B14" s="34" t="s">
        <v>109</v>
      </c>
      <c r="C14" s="47" t="s">
        <v>108</v>
      </c>
      <c r="D14" s="55">
        <v>11515.37</v>
      </c>
      <c r="E14" s="55">
        <v>0</v>
      </c>
    </row>
    <row r="15" spans="1:5" ht="15.75" customHeight="1">
      <c r="A15" s="58"/>
      <c r="B15" s="53" t="s">
        <v>110</v>
      </c>
      <c r="C15" s="54" t="s">
        <v>108</v>
      </c>
      <c r="D15" s="59">
        <f>D13-D14</f>
        <v>763.539999999999</v>
      </c>
      <c r="E15" s="59">
        <f>E13-E14</f>
        <v>0</v>
      </c>
    </row>
    <row r="16" spans="1:5" ht="15" customHeight="1">
      <c r="A16" s="60" t="s">
        <v>113</v>
      </c>
      <c r="B16" s="53" t="s">
        <v>114</v>
      </c>
      <c r="C16" s="47"/>
      <c r="D16" s="61"/>
      <c r="E16" s="61"/>
    </row>
    <row r="17" spans="1:5" ht="15.75">
      <c r="A17" s="62"/>
      <c r="B17" s="34" t="s">
        <v>107</v>
      </c>
      <c r="C17" s="47" t="s">
        <v>108</v>
      </c>
      <c r="D17" s="61">
        <v>2536.94</v>
      </c>
      <c r="E17" s="61">
        <v>2536.94</v>
      </c>
    </row>
    <row r="18" spans="1:5" ht="15.75" customHeight="1">
      <c r="A18" s="62"/>
      <c r="B18" s="34" t="s">
        <v>109</v>
      </c>
      <c r="C18" s="47" t="s">
        <v>108</v>
      </c>
      <c r="D18" s="61">
        <v>2166.49</v>
      </c>
      <c r="E18" s="61">
        <v>2166.49</v>
      </c>
    </row>
    <row r="19" spans="1:5" ht="15.75">
      <c r="A19" s="62"/>
      <c r="B19" s="53" t="s">
        <v>110</v>
      </c>
      <c r="C19" s="47" t="s">
        <v>108</v>
      </c>
      <c r="D19" s="63">
        <f>D17-D18</f>
        <v>370.4500000000003</v>
      </c>
      <c r="E19" s="63">
        <f>E17-E18</f>
        <v>370.4500000000003</v>
      </c>
    </row>
    <row r="20" spans="1:5" ht="24.75" customHeight="1">
      <c r="A20" s="58"/>
      <c r="B20" s="53" t="s">
        <v>115</v>
      </c>
      <c r="C20" s="47" t="s">
        <v>108</v>
      </c>
      <c r="D20" s="59">
        <f>D9+D13+D17</f>
        <v>202289.59</v>
      </c>
      <c r="E20" s="59">
        <f>E9+E13+E17</f>
        <v>190010.68</v>
      </c>
    </row>
    <row r="21" spans="1:5" ht="21" customHeight="1">
      <c r="A21" s="58"/>
      <c r="B21" s="53" t="s">
        <v>116</v>
      </c>
      <c r="C21" s="47" t="s">
        <v>108</v>
      </c>
      <c r="D21" s="59">
        <f>D11+D15+D19</f>
        <v>15375.789999999988</v>
      </c>
      <c r="E21" s="59">
        <f>E11+E15+E19</f>
        <v>14612.249999999989</v>
      </c>
    </row>
    <row r="22" spans="1:5" ht="18" customHeight="1">
      <c r="A22" s="52" t="s">
        <v>117</v>
      </c>
      <c r="B22" s="64" t="s">
        <v>118</v>
      </c>
      <c r="C22" s="47"/>
      <c r="D22" s="55"/>
      <c r="E22" s="55"/>
    </row>
    <row r="23" spans="1:5" ht="74.25" customHeight="1">
      <c r="A23" s="65" t="s">
        <v>119</v>
      </c>
      <c r="B23" s="66" t="s">
        <v>120</v>
      </c>
      <c r="C23" s="54" t="s">
        <v>108</v>
      </c>
      <c r="D23" s="59">
        <f>D9*0.11</f>
        <v>20622.111399999998</v>
      </c>
      <c r="E23" s="59">
        <f>E9*0.11</f>
        <v>20622.111399999998</v>
      </c>
    </row>
    <row r="24" spans="1:5" ht="91.5" customHeight="1">
      <c r="A24" s="65" t="s">
        <v>121</v>
      </c>
      <c r="B24" s="66" t="s">
        <v>122</v>
      </c>
      <c r="C24" s="54" t="s">
        <v>108</v>
      </c>
      <c r="D24" s="59">
        <f>D9*0.7</f>
        <v>131231.618</v>
      </c>
      <c r="E24" s="59">
        <f>E9*0.7</f>
        <v>131231.618</v>
      </c>
    </row>
    <row r="25" spans="1:5" ht="14.25" customHeight="1">
      <c r="A25" s="65" t="s">
        <v>123</v>
      </c>
      <c r="B25" s="53" t="s">
        <v>124</v>
      </c>
      <c r="C25" s="54" t="s">
        <v>108</v>
      </c>
      <c r="D25" s="67">
        <v>0</v>
      </c>
      <c r="E25" s="67">
        <v>0</v>
      </c>
    </row>
    <row r="26" spans="1:5" ht="17.25" customHeight="1">
      <c r="A26" s="65" t="s">
        <v>125</v>
      </c>
      <c r="B26" s="53" t="s">
        <v>126</v>
      </c>
      <c r="C26" s="54" t="s">
        <v>108</v>
      </c>
      <c r="D26" s="67">
        <v>0</v>
      </c>
      <c r="E26" s="67">
        <v>0</v>
      </c>
    </row>
    <row r="27" spans="1:5" ht="15.75">
      <c r="A27" s="58"/>
      <c r="B27" s="53" t="s">
        <v>127</v>
      </c>
      <c r="C27" s="54" t="s">
        <v>108</v>
      </c>
      <c r="D27" s="59">
        <f>D23+D24+D25+D26</f>
        <v>151853.72939999998</v>
      </c>
      <c r="E27" s="59">
        <f>E23+E24+E25+E26</f>
        <v>151853.72939999998</v>
      </c>
    </row>
    <row r="28" spans="1:5" ht="15.75">
      <c r="A28" s="57" t="s">
        <v>62</v>
      </c>
      <c r="B28" s="53" t="s">
        <v>128</v>
      </c>
      <c r="C28" s="47" t="s">
        <v>108</v>
      </c>
      <c r="D28" s="55">
        <f>D20-D27</f>
        <v>50435.860600000015</v>
      </c>
      <c r="E28" s="55">
        <f>E20-E27</f>
        <v>38156.95060000001</v>
      </c>
    </row>
    <row r="29" spans="1:5" ht="31.5">
      <c r="A29" s="65" t="s">
        <v>129</v>
      </c>
      <c r="B29" s="66" t="s">
        <v>130</v>
      </c>
      <c r="C29" s="47" t="s">
        <v>108</v>
      </c>
      <c r="D29" s="55">
        <f>D28-D21</f>
        <v>35060.07060000003</v>
      </c>
      <c r="E29" s="55">
        <f>E28-E21</f>
        <v>23544.700600000022</v>
      </c>
    </row>
    <row r="30" spans="1:4" ht="15.75">
      <c r="A30" s="68"/>
      <c r="B30" s="69"/>
      <c r="C30" s="70"/>
      <c r="D30" s="70"/>
    </row>
    <row r="31" spans="1:4" ht="17.25" customHeight="1">
      <c r="A31" s="33"/>
      <c r="B31" s="187" t="s">
        <v>131</v>
      </c>
      <c r="C31" s="187"/>
      <c r="D31" s="187"/>
    </row>
    <row r="32" spans="2:4" ht="15.75">
      <c r="B32" s="71"/>
      <c r="C32" s="71"/>
      <c r="D32" s="71"/>
    </row>
    <row r="33" spans="2:4" ht="15.75">
      <c r="B33" s="72" t="s">
        <v>79</v>
      </c>
      <c r="C33" s="72"/>
      <c r="D33" s="72"/>
    </row>
    <row r="34" spans="2:4" ht="15.75">
      <c r="B34" s="188" t="s">
        <v>132</v>
      </c>
      <c r="C34" s="188"/>
      <c r="D34" s="188"/>
    </row>
    <row r="35" spans="2:4" ht="15.75">
      <c r="B35" s="184" t="s">
        <v>82</v>
      </c>
      <c r="C35" s="184"/>
      <c r="D35" s="184"/>
    </row>
  </sheetData>
  <mergeCells count="5">
    <mergeCell ref="B35:D35"/>
    <mergeCell ref="A1:D1"/>
    <mergeCell ref="A2:D2"/>
    <mergeCell ref="B31:D31"/>
    <mergeCell ref="B34:D3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22">
      <selection activeCell="B3" sqref="B3:E6"/>
    </sheetView>
  </sheetViews>
  <sheetFormatPr defaultColWidth="9.00390625" defaultRowHeight="15.75"/>
  <cols>
    <col min="1" max="1" width="8.125" style="0" customWidth="1"/>
    <col min="2" max="2" width="27.75390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3.25390625" style="0" customWidth="1"/>
  </cols>
  <sheetData>
    <row r="1" spans="1:8" ht="99.75" customHeight="1">
      <c r="A1" s="201" t="s">
        <v>87</v>
      </c>
      <c r="B1" s="201"/>
      <c r="C1" s="201"/>
      <c r="D1" s="201"/>
      <c r="E1" s="201"/>
      <c r="F1" s="201"/>
      <c r="G1" s="201"/>
      <c r="H1" s="201"/>
    </row>
    <row r="2" spans="1:8" ht="61.5" customHeight="1">
      <c r="A2" s="202" t="s">
        <v>85</v>
      </c>
      <c r="B2" s="202"/>
      <c r="C2" s="202"/>
      <c r="D2" s="202"/>
      <c r="E2" s="202"/>
      <c r="F2" s="202"/>
      <c r="G2" s="202"/>
      <c r="H2" s="202"/>
    </row>
    <row r="3" spans="1:6" ht="18.75">
      <c r="A3" s="1" t="s">
        <v>80</v>
      </c>
      <c r="B3" s="1" t="s">
        <v>84</v>
      </c>
      <c r="C3" s="2"/>
      <c r="D3" s="2" t="s">
        <v>0</v>
      </c>
      <c r="E3" s="26">
        <v>2542.9</v>
      </c>
      <c r="F3" s="2"/>
    </row>
    <row r="4" spans="2:6" ht="15.75">
      <c r="B4" s="3" t="s">
        <v>1</v>
      </c>
      <c r="C4" s="46">
        <v>5</v>
      </c>
      <c r="D4" s="2" t="s">
        <v>2</v>
      </c>
      <c r="E4" s="27">
        <v>64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83</v>
      </c>
      <c r="F6" s="2"/>
      <c r="G6" s="2"/>
    </row>
    <row r="7" spans="1:8" ht="47.25">
      <c r="A7" s="21" t="s">
        <v>61</v>
      </c>
      <c r="B7" s="180"/>
      <c r="C7" s="180"/>
      <c r="D7" s="180"/>
      <c r="E7" s="11" t="s">
        <v>6</v>
      </c>
      <c r="F7" s="11" t="s">
        <v>7</v>
      </c>
      <c r="G7" s="10" t="s">
        <v>22</v>
      </c>
      <c r="H7" s="10" t="s">
        <v>33</v>
      </c>
    </row>
    <row r="8" spans="1:8" ht="15.75">
      <c r="A8" s="22"/>
      <c r="B8" s="181" t="s">
        <v>65</v>
      </c>
      <c r="C8" s="182"/>
      <c r="D8" s="182"/>
      <c r="E8" s="182"/>
      <c r="F8" s="183"/>
      <c r="G8" s="15"/>
      <c r="H8" s="16"/>
    </row>
    <row r="9" spans="1:8" ht="15.75">
      <c r="A9" s="22"/>
      <c r="B9" s="190" t="s">
        <v>66</v>
      </c>
      <c r="C9" s="190"/>
      <c r="D9" s="190"/>
      <c r="E9" s="190"/>
      <c r="F9" s="190"/>
      <c r="G9" s="15"/>
      <c r="H9" s="30">
        <v>31453.98</v>
      </c>
    </row>
    <row r="10" spans="1:8" ht="15.75">
      <c r="A10" s="22">
        <v>1</v>
      </c>
      <c r="B10" s="189" t="s">
        <v>63</v>
      </c>
      <c r="C10" s="189"/>
      <c r="D10" s="189"/>
      <c r="E10" s="189"/>
      <c r="F10" s="189"/>
      <c r="G10" s="15"/>
      <c r="H10" s="34">
        <v>264796.02</v>
      </c>
    </row>
    <row r="11" spans="1:8" ht="15.75">
      <c r="A11" s="22"/>
      <c r="B11" s="189" t="s">
        <v>67</v>
      </c>
      <c r="C11" s="189"/>
      <c r="D11" s="189"/>
      <c r="E11" s="189"/>
      <c r="F11" s="189"/>
      <c r="G11" s="15"/>
      <c r="H11" s="35">
        <f>H10*0.9</f>
        <v>238316.41800000003</v>
      </c>
    </row>
    <row r="12" spans="1:8" ht="15.75" customHeight="1">
      <c r="A12" s="22"/>
      <c r="B12" s="189" t="s">
        <v>68</v>
      </c>
      <c r="C12" s="189"/>
      <c r="D12" s="189"/>
      <c r="E12" s="189"/>
      <c r="F12" s="189"/>
      <c r="G12" s="15"/>
      <c r="H12" s="35">
        <f>H10-H11</f>
        <v>26479.601999999984</v>
      </c>
    </row>
    <row r="13" spans="1:8" ht="15.75" customHeight="1">
      <c r="A13" s="22">
        <v>2</v>
      </c>
      <c r="B13" s="189" t="s">
        <v>64</v>
      </c>
      <c r="C13" s="189"/>
      <c r="D13" s="189"/>
      <c r="E13" s="189"/>
      <c r="F13" s="189"/>
      <c r="G13" s="15"/>
      <c r="H13" s="34">
        <v>254997.38</v>
      </c>
    </row>
    <row r="14" spans="1:8" ht="15.75" customHeight="1">
      <c r="A14" s="22">
        <v>3</v>
      </c>
      <c r="B14" s="189" t="s">
        <v>69</v>
      </c>
      <c r="C14" s="189"/>
      <c r="D14" s="189"/>
      <c r="E14" s="189"/>
      <c r="F14" s="189"/>
      <c r="G14" s="15"/>
      <c r="H14" s="35">
        <f>H10-H13</f>
        <v>9798.640000000014</v>
      </c>
    </row>
    <row r="15" spans="1:8" ht="15.75" customHeight="1">
      <c r="A15" s="22">
        <v>4</v>
      </c>
      <c r="B15" s="190" t="s">
        <v>70</v>
      </c>
      <c r="C15" s="190"/>
      <c r="D15" s="190"/>
      <c r="E15" s="190"/>
      <c r="F15" s="190"/>
      <c r="G15" s="15"/>
      <c r="H15" s="36">
        <f>H9+H10-H13</f>
        <v>41252.619999999995</v>
      </c>
    </row>
    <row r="16" spans="1:8" ht="18.75">
      <c r="A16" s="22">
        <v>5</v>
      </c>
      <c r="B16" s="179" t="s">
        <v>74</v>
      </c>
      <c r="C16" s="179"/>
      <c r="D16" s="179"/>
      <c r="E16" s="179"/>
      <c r="F16" s="179"/>
      <c r="G16" s="17"/>
      <c r="H16" s="37"/>
    </row>
    <row r="17" spans="1:8" ht="15.75">
      <c r="A17" s="22" t="s">
        <v>40</v>
      </c>
      <c r="B17" s="18" t="s">
        <v>75</v>
      </c>
      <c r="C17" s="18"/>
      <c r="D17" s="18"/>
      <c r="E17" s="18"/>
      <c r="F17" s="5"/>
      <c r="G17" s="19"/>
      <c r="H17" s="38"/>
    </row>
    <row r="18" spans="1:8" ht="31.5">
      <c r="A18" s="28" t="s">
        <v>41</v>
      </c>
      <c r="B18" s="191" t="s">
        <v>18</v>
      </c>
      <c r="C18" s="191"/>
      <c r="D18" s="191"/>
      <c r="E18" s="6" t="s">
        <v>32</v>
      </c>
      <c r="F18" s="6" t="s">
        <v>24</v>
      </c>
      <c r="G18" s="12">
        <v>0.9</v>
      </c>
      <c r="H18" s="39">
        <f>ROUND(G18*$E$3*12,2)</f>
        <v>27463.32</v>
      </c>
    </row>
    <row r="19" spans="1:8" ht="15.75">
      <c r="A19" s="29" t="s">
        <v>42</v>
      </c>
      <c r="B19" s="191" t="s">
        <v>17</v>
      </c>
      <c r="C19" s="191"/>
      <c r="D19" s="191"/>
      <c r="E19" s="6" t="s">
        <v>32</v>
      </c>
      <c r="F19" s="6" t="s">
        <v>19</v>
      </c>
      <c r="G19" s="12">
        <v>0.26</v>
      </c>
      <c r="H19" s="39">
        <f aca="true" t="shared" si="0" ref="H19:H31">ROUND(G19*$E$3*12,2)</f>
        <v>7933.85</v>
      </c>
    </row>
    <row r="20" spans="1:8" ht="15.75">
      <c r="A20" s="28" t="s">
        <v>43</v>
      </c>
      <c r="B20" s="192" t="s">
        <v>23</v>
      </c>
      <c r="C20" s="192"/>
      <c r="D20" s="192"/>
      <c r="E20" s="7" t="s">
        <v>8</v>
      </c>
      <c r="F20" s="7" t="s">
        <v>20</v>
      </c>
      <c r="G20" s="12">
        <v>0.32</v>
      </c>
      <c r="H20" s="39">
        <f t="shared" si="0"/>
        <v>9764.74</v>
      </c>
    </row>
    <row r="21" spans="1:8" ht="33" customHeight="1">
      <c r="A21" s="29" t="s">
        <v>44</v>
      </c>
      <c r="B21" s="195" t="s">
        <v>31</v>
      </c>
      <c r="C21" s="195"/>
      <c r="D21" s="195"/>
      <c r="E21" s="8" t="s">
        <v>9</v>
      </c>
      <c r="F21" s="8" t="s">
        <v>10</v>
      </c>
      <c r="G21" s="12">
        <v>0.46</v>
      </c>
      <c r="H21" s="39">
        <f t="shared" si="0"/>
        <v>14036.81</v>
      </c>
    </row>
    <row r="22" spans="1:8" ht="63">
      <c r="A22" s="28" t="s">
        <v>47</v>
      </c>
      <c r="B22" s="192" t="s">
        <v>27</v>
      </c>
      <c r="C22" s="192"/>
      <c r="D22" s="192"/>
      <c r="E22" s="7" t="s">
        <v>34</v>
      </c>
      <c r="F22" s="7" t="s">
        <v>25</v>
      </c>
      <c r="G22" s="12">
        <v>0.11</v>
      </c>
      <c r="H22" s="39">
        <f t="shared" si="0"/>
        <v>3356.63</v>
      </c>
    </row>
    <row r="23" spans="1:8" ht="31.5">
      <c r="A23" s="29" t="s">
        <v>45</v>
      </c>
      <c r="B23" s="192" t="s">
        <v>11</v>
      </c>
      <c r="C23" s="192"/>
      <c r="D23" s="192"/>
      <c r="E23" s="7" t="s">
        <v>9</v>
      </c>
      <c r="F23" s="7" t="s">
        <v>12</v>
      </c>
      <c r="G23" s="12">
        <v>0</v>
      </c>
      <c r="H23" s="39">
        <f t="shared" si="0"/>
        <v>0</v>
      </c>
    </row>
    <row r="24" spans="1:8" ht="15.75">
      <c r="A24" s="28" t="s">
        <v>46</v>
      </c>
      <c r="B24" s="192" t="s">
        <v>26</v>
      </c>
      <c r="C24" s="196"/>
      <c r="D24" s="196"/>
      <c r="E24" s="9" t="s">
        <v>13</v>
      </c>
      <c r="F24" s="9" t="s">
        <v>14</v>
      </c>
      <c r="G24" s="12">
        <v>0.04</v>
      </c>
      <c r="H24" s="39">
        <f t="shared" si="0"/>
        <v>1220.59</v>
      </c>
    </row>
    <row r="25" spans="1:8" ht="36.75" customHeight="1">
      <c r="A25" s="29" t="s">
        <v>48</v>
      </c>
      <c r="B25" s="204" t="s">
        <v>81</v>
      </c>
      <c r="C25" s="205"/>
      <c r="D25" s="206"/>
      <c r="E25" s="9" t="s">
        <v>13</v>
      </c>
      <c r="F25" s="43" t="s">
        <v>77</v>
      </c>
      <c r="G25" s="12">
        <v>0.22</v>
      </c>
      <c r="H25" s="39">
        <f t="shared" si="0"/>
        <v>6713.26</v>
      </c>
    </row>
    <row r="26" spans="1:8" ht="31.5">
      <c r="A26" s="28" t="s">
        <v>49</v>
      </c>
      <c r="B26" s="192" t="s">
        <v>35</v>
      </c>
      <c r="C26" s="192"/>
      <c r="D26" s="192"/>
      <c r="E26" s="6" t="s">
        <v>36</v>
      </c>
      <c r="F26" s="43" t="s">
        <v>77</v>
      </c>
      <c r="G26" s="12">
        <v>2.5</v>
      </c>
      <c r="H26" s="39">
        <f t="shared" si="0"/>
        <v>76287</v>
      </c>
    </row>
    <row r="27" spans="1:8" ht="31.5">
      <c r="A27" s="29" t="s">
        <v>50</v>
      </c>
      <c r="B27" s="191" t="s">
        <v>15</v>
      </c>
      <c r="C27" s="191"/>
      <c r="D27" s="191"/>
      <c r="E27" s="6" t="s">
        <v>36</v>
      </c>
      <c r="F27" s="44" t="s">
        <v>77</v>
      </c>
      <c r="G27" s="12">
        <v>0.38</v>
      </c>
      <c r="H27" s="39">
        <f t="shared" si="0"/>
        <v>11595.62</v>
      </c>
    </row>
    <row r="28" spans="1:8" ht="31.5">
      <c r="A28" s="28" t="s">
        <v>51</v>
      </c>
      <c r="B28" s="193" t="s">
        <v>37</v>
      </c>
      <c r="C28" s="194"/>
      <c r="D28" s="194"/>
      <c r="E28" s="6" t="s">
        <v>36</v>
      </c>
      <c r="F28" s="44" t="s">
        <v>77</v>
      </c>
      <c r="G28" s="13">
        <f>1.82-G29-G30</f>
        <v>1.57</v>
      </c>
      <c r="H28" s="39">
        <f t="shared" si="0"/>
        <v>47908.24</v>
      </c>
    </row>
    <row r="29" spans="1:8" ht="31.5">
      <c r="A29" s="29" t="s">
        <v>52</v>
      </c>
      <c r="B29" s="192" t="s">
        <v>28</v>
      </c>
      <c r="C29" s="192"/>
      <c r="D29" s="192"/>
      <c r="E29" s="6" t="s">
        <v>36</v>
      </c>
      <c r="F29" s="44" t="s">
        <v>77</v>
      </c>
      <c r="G29" s="13">
        <v>0.25</v>
      </c>
      <c r="H29" s="39">
        <f t="shared" si="0"/>
        <v>7628.7</v>
      </c>
    </row>
    <row r="30" spans="1:8" ht="31.5">
      <c r="A30" s="28" t="s">
        <v>53</v>
      </c>
      <c r="B30" s="192" t="s">
        <v>29</v>
      </c>
      <c r="C30" s="192"/>
      <c r="D30" s="192"/>
      <c r="E30" s="6" t="s">
        <v>36</v>
      </c>
      <c r="F30" s="44" t="s">
        <v>77</v>
      </c>
      <c r="G30" s="13">
        <v>0</v>
      </c>
      <c r="H30" s="39">
        <f t="shared" si="0"/>
        <v>0</v>
      </c>
    </row>
    <row r="31" spans="1:8" ht="31.5">
      <c r="A31" s="29" t="s">
        <v>54</v>
      </c>
      <c r="B31" s="196" t="s">
        <v>21</v>
      </c>
      <c r="C31" s="196"/>
      <c r="D31" s="196"/>
      <c r="E31" s="6" t="s">
        <v>36</v>
      </c>
      <c r="F31" s="44" t="s">
        <v>77</v>
      </c>
      <c r="G31" s="9">
        <v>0.88</v>
      </c>
      <c r="H31" s="39">
        <f t="shared" si="0"/>
        <v>26853.02</v>
      </c>
    </row>
    <row r="32" spans="1:8" ht="15.75">
      <c r="A32" s="22" t="s">
        <v>55</v>
      </c>
      <c r="B32" s="203" t="s">
        <v>30</v>
      </c>
      <c r="C32" s="203"/>
      <c r="D32" s="203"/>
      <c r="E32" s="14"/>
      <c r="F32" s="44"/>
      <c r="G32" s="20">
        <f>SUM(G18:G31)</f>
        <v>7.890000000000001</v>
      </c>
      <c r="H32" s="40">
        <f>SUM(H18:H31)</f>
        <v>240761.77999999997</v>
      </c>
    </row>
    <row r="33" spans="1:8" ht="15.75">
      <c r="A33" s="22" t="s">
        <v>56</v>
      </c>
      <c r="B33" s="190" t="s">
        <v>38</v>
      </c>
      <c r="C33" s="196"/>
      <c r="D33" s="196"/>
      <c r="E33" s="14"/>
      <c r="F33" s="44" t="s">
        <v>77</v>
      </c>
      <c r="G33" s="23">
        <f>H33/E3/12</f>
        <v>0.4260227823875627</v>
      </c>
      <c r="H33" s="24">
        <v>13000</v>
      </c>
    </row>
    <row r="34" spans="1:8" ht="18.75">
      <c r="A34" s="25" t="s">
        <v>57</v>
      </c>
      <c r="B34" s="200" t="s">
        <v>76</v>
      </c>
      <c r="C34" s="200"/>
      <c r="D34" s="200"/>
      <c r="E34" s="200"/>
      <c r="F34" s="200"/>
      <c r="G34" s="20">
        <f>SUM(G32:G33)</f>
        <v>8.316022782387563</v>
      </c>
      <c r="H34" s="41">
        <f>SUM(H32:H33)</f>
        <v>253761.77999999997</v>
      </c>
    </row>
    <row r="35" spans="1:8" ht="18.75">
      <c r="A35" s="22" t="s">
        <v>62</v>
      </c>
      <c r="B35" s="197" t="s">
        <v>39</v>
      </c>
      <c r="C35" s="198"/>
      <c r="D35" s="198"/>
      <c r="E35" s="198"/>
      <c r="F35" s="198"/>
      <c r="G35" s="199"/>
      <c r="H35" s="31"/>
    </row>
    <row r="36" spans="1:8" ht="15.75" customHeight="1">
      <c r="A36" s="22" t="s">
        <v>58</v>
      </c>
      <c r="B36" s="208" t="s">
        <v>71</v>
      </c>
      <c r="C36" s="209"/>
      <c r="D36" s="209"/>
      <c r="E36" s="209"/>
      <c r="F36" s="209"/>
      <c r="G36" s="210"/>
      <c r="H36" s="32">
        <v>23544.7</v>
      </c>
    </row>
    <row r="37" spans="1:8" ht="15.75" customHeight="1">
      <c r="A37" s="22" t="s">
        <v>59</v>
      </c>
      <c r="B37" s="208" t="s">
        <v>72</v>
      </c>
      <c r="C37" s="209"/>
      <c r="D37" s="209"/>
      <c r="E37" s="209"/>
      <c r="F37" s="209"/>
      <c r="G37" s="210"/>
      <c r="H37" s="42">
        <f>H13-H34</f>
        <v>1235.600000000035</v>
      </c>
    </row>
    <row r="38" spans="1:8" ht="15.75" customHeight="1">
      <c r="A38" s="22" t="s">
        <v>60</v>
      </c>
      <c r="B38" s="208" t="s">
        <v>73</v>
      </c>
      <c r="C38" s="209"/>
      <c r="D38" s="209"/>
      <c r="E38" s="209"/>
      <c r="F38" s="209"/>
      <c r="G38" s="210"/>
      <c r="H38" s="42">
        <f>H36+H37</f>
        <v>24780.300000000036</v>
      </c>
    </row>
    <row r="39" spans="2:6" ht="19.5" customHeight="1">
      <c r="B39" s="33"/>
      <c r="F39" s="33"/>
    </row>
    <row r="40" spans="1:8" ht="15.75" customHeight="1">
      <c r="A40" s="207" t="s">
        <v>78</v>
      </c>
      <c r="B40" s="207"/>
      <c r="C40" s="207"/>
      <c r="D40" s="207"/>
      <c r="E40" s="207"/>
      <c r="F40" s="207"/>
      <c r="G40" s="207"/>
      <c r="H40" s="207"/>
    </row>
    <row r="41" spans="1:3" ht="15.75">
      <c r="A41" s="33"/>
      <c r="B41" s="33"/>
      <c r="C41" s="33"/>
    </row>
    <row r="42" spans="1:3" ht="15.75">
      <c r="A42" s="45" t="s">
        <v>79</v>
      </c>
      <c r="B42" s="45"/>
      <c r="C42" s="45"/>
    </row>
    <row r="43" spans="1:7" ht="15.75">
      <c r="A43" s="211" t="s">
        <v>86</v>
      </c>
      <c r="B43" s="211"/>
      <c r="C43" s="211"/>
      <c r="D43" s="211"/>
      <c r="E43" s="211"/>
      <c r="F43" s="211"/>
      <c r="G43" s="211"/>
    </row>
    <row r="44" spans="1:3" ht="15.75" customHeight="1">
      <c r="A44" s="184" t="s">
        <v>82</v>
      </c>
      <c r="B44" s="184"/>
      <c r="C44" s="184"/>
    </row>
  </sheetData>
  <mergeCells count="36">
    <mergeCell ref="A40:H40"/>
    <mergeCell ref="A44:C44"/>
    <mergeCell ref="B36:G36"/>
    <mergeCell ref="B37:G37"/>
    <mergeCell ref="B38:G38"/>
    <mergeCell ref="A43:G43"/>
    <mergeCell ref="B35:G35"/>
    <mergeCell ref="B33:D33"/>
    <mergeCell ref="B34:F34"/>
    <mergeCell ref="A1:H1"/>
    <mergeCell ref="A2:H2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16:F16"/>
    <mergeCell ref="B18:D18"/>
    <mergeCell ref="B19:D19"/>
    <mergeCell ref="B20:D20"/>
    <mergeCell ref="B13:F13"/>
    <mergeCell ref="B14:F14"/>
    <mergeCell ref="B15:F15"/>
    <mergeCell ref="B7:D7"/>
    <mergeCell ref="B12:F12"/>
    <mergeCell ref="B8:F8"/>
    <mergeCell ref="B9:F9"/>
    <mergeCell ref="B10:F10"/>
    <mergeCell ref="B11:F11"/>
  </mergeCells>
  <printOptions/>
  <pageMargins left="0.43" right="0" top="0" bottom="0" header="0.5118110236220472" footer="0.1968503937007874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B13">
      <selection activeCell="H26" sqref="H26"/>
    </sheetView>
  </sheetViews>
  <sheetFormatPr defaultColWidth="9.00390625" defaultRowHeight="15.75"/>
  <cols>
    <col min="1" max="1" width="8.125" style="0" customWidth="1"/>
    <col min="2" max="2" width="25.125" style="0" customWidth="1"/>
    <col min="3" max="3" width="3.75390625" style="0" customWidth="1"/>
    <col min="4" max="4" width="24.875" style="0" customWidth="1"/>
    <col min="5" max="5" width="20.00390625" style="0" customWidth="1"/>
    <col min="6" max="6" width="0.12890625" style="0" hidden="1" customWidth="1"/>
    <col min="7" max="7" width="8.25390625" style="0" customWidth="1"/>
    <col min="8" max="8" width="13.125" style="0" customWidth="1"/>
    <col min="9" max="9" width="12.00390625" style="0" customWidth="1"/>
    <col min="10" max="10" width="12.625" style="0" customWidth="1"/>
  </cols>
  <sheetData>
    <row r="1" spans="1:10" ht="110.25" customHeight="1">
      <c r="A1" s="185" t="s">
        <v>206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54" customHeight="1">
      <c r="A2" s="212" t="s">
        <v>205</v>
      </c>
      <c r="B2" s="212"/>
      <c r="C2" s="212"/>
      <c r="D2" s="212"/>
      <c r="E2" s="212"/>
      <c r="F2" s="212"/>
      <c r="G2" s="212"/>
      <c r="H2" s="212"/>
      <c r="I2" s="212"/>
      <c r="J2" s="212"/>
    </row>
    <row r="3" spans="1:9" ht="18.75">
      <c r="A3" s="1" t="s">
        <v>80</v>
      </c>
      <c r="B3" s="1" t="s">
        <v>84</v>
      </c>
      <c r="C3" s="2"/>
      <c r="D3" s="2" t="s">
        <v>0</v>
      </c>
      <c r="E3" s="26">
        <v>2542.9</v>
      </c>
      <c r="F3" s="2"/>
      <c r="H3" s="85">
        <v>1047.22</v>
      </c>
      <c r="I3" s="85"/>
    </row>
    <row r="4" spans="2:8" ht="15.75">
      <c r="B4" s="3" t="s">
        <v>1</v>
      </c>
      <c r="C4" s="46">
        <v>5</v>
      </c>
      <c r="D4" s="2" t="s">
        <v>2</v>
      </c>
      <c r="E4" s="27">
        <v>64</v>
      </c>
      <c r="F4" s="2"/>
      <c r="H4" t="s">
        <v>100</v>
      </c>
    </row>
    <row r="5" spans="2:9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  <c r="H5" s="2" t="s">
        <v>140</v>
      </c>
      <c r="I5" s="2"/>
    </row>
    <row r="6" spans="2:8" ht="15.75">
      <c r="B6" s="3"/>
      <c r="C6" s="4"/>
      <c r="D6" s="2" t="s">
        <v>5</v>
      </c>
      <c r="E6" s="2" t="s">
        <v>83</v>
      </c>
      <c r="F6" s="2"/>
      <c r="G6" s="2"/>
      <c r="H6" t="s">
        <v>141</v>
      </c>
    </row>
    <row r="7" spans="1:10" ht="39" customHeight="1">
      <c r="A7" s="21" t="s">
        <v>61</v>
      </c>
      <c r="B7" s="213" t="s">
        <v>142</v>
      </c>
      <c r="C7" s="214"/>
      <c r="D7" s="215"/>
      <c r="E7" s="11" t="s">
        <v>6</v>
      </c>
      <c r="F7" s="11" t="s">
        <v>7</v>
      </c>
      <c r="G7" s="86" t="s">
        <v>22</v>
      </c>
      <c r="H7" s="216" t="s">
        <v>143</v>
      </c>
      <c r="I7" s="217"/>
      <c r="J7" s="218"/>
    </row>
    <row r="8" spans="1:10" ht="15.75">
      <c r="A8" s="22">
        <v>1</v>
      </c>
      <c r="B8" s="181"/>
      <c r="C8" s="182"/>
      <c r="D8" s="182"/>
      <c r="E8" s="182"/>
      <c r="F8" s="183"/>
      <c r="G8" s="87"/>
      <c r="H8" s="88" t="s">
        <v>144</v>
      </c>
      <c r="I8" s="89" t="s">
        <v>145</v>
      </c>
      <c r="J8" s="89" t="s">
        <v>146</v>
      </c>
    </row>
    <row r="9" spans="1:10" ht="15.75">
      <c r="A9" s="22"/>
      <c r="B9" s="181" t="s">
        <v>147</v>
      </c>
      <c r="C9" s="182"/>
      <c r="D9" s="182"/>
      <c r="E9" s="182"/>
      <c r="F9" s="183"/>
      <c r="G9" s="90"/>
      <c r="H9" s="90"/>
      <c r="I9" s="54"/>
      <c r="J9" s="89"/>
    </row>
    <row r="10" spans="1:10" ht="15.75" customHeight="1">
      <c r="A10" s="91"/>
      <c r="B10" s="189" t="s">
        <v>148</v>
      </c>
      <c r="C10" s="189"/>
      <c r="D10" s="189"/>
      <c r="E10" s="189"/>
      <c r="F10" s="189"/>
      <c r="G10" s="15"/>
      <c r="H10" s="116">
        <v>282003.97</v>
      </c>
      <c r="I10" s="118"/>
      <c r="J10" s="116">
        <f>H10+I10</f>
        <v>282003.97</v>
      </c>
    </row>
    <row r="11" spans="1:10" ht="15.75" customHeight="1">
      <c r="A11" s="91"/>
      <c r="B11" s="189" t="s">
        <v>149</v>
      </c>
      <c r="C11" s="189"/>
      <c r="D11" s="189"/>
      <c r="E11" s="189"/>
      <c r="F11" s="189"/>
      <c r="G11" s="15"/>
      <c r="H11" s="116">
        <v>18358.43</v>
      </c>
      <c r="I11" s="118"/>
      <c r="J11" s="116">
        <f>H11+I11</f>
        <v>18358.43</v>
      </c>
    </row>
    <row r="12" spans="1:10" ht="15.75" customHeight="1">
      <c r="A12" s="22"/>
      <c r="B12" s="189" t="s">
        <v>150</v>
      </c>
      <c r="C12" s="189"/>
      <c r="D12" s="189"/>
      <c r="E12" s="189"/>
      <c r="F12" s="189"/>
      <c r="G12" s="15"/>
      <c r="H12" s="116"/>
      <c r="I12" s="118">
        <v>89314.74</v>
      </c>
      <c r="J12" s="116">
        <f>H12+I12</f>
        <v>89314.74</v>
      </c>
    </row>
    <row r="13" spans="1:10" ht="15.75">
      <c r="A13" s="22"/>
      <c r="B13" s="189" t="s">
        <v>151</v>
      </c>
      <c r="C13" s="189"/>
      <c r="D13" s="189"/>
      <c r="E13" s="189"/>
      <c r="F13" s="189"/>
      <c r="G13" s="15"/>
      <c r="H13" s="118">
        <v>0</v>
      </c>
      <c r="I13" s="118"/>
      <c r="J13" s="116">
        <f>H13+I13</f>
        <v>0</v>
      </c>
    </row>
    <row r="14" spans="1:10" ht="15.75" customHeight="1">
      <c r="A14" s="22"/>
      <c r="B14" s="190" t="s">
        <v>152</v>
      </c>
      <c r="C14" s="190"/>
      <c r="D14" s="190"/>
      <c r="E14" s="190"/>
      <c r="F14" s="190"/>
      <c r="G14" s="15"/>
      <c r="H14" s="123">
        <f>SUM(H10:H12)</f>
        <v>300362.39999999997</v>
      </c>
      <c r="I14" s="120">
        <f>SUM(I10:I12)</f>
        <v>89314.74</v>
      </c>
      <c r="J14" s="123">
        <f>SUM(J10:J13)</f>
        <v>389677.13999999996</v>
      </c>
    </row>
    <row r="15" spans="1:10" ht="18.75" customHeight="1">
      <c r="A15" s="22">
        <v>2</v>
      </c>
      <c r="B15" s="179" t="s">
        <v>74</v>
      </c>
      <c r="C15" s="179"/>
      <c r="D15" s="179"/>
      <c r="E15" s="179"/>
      <c r="F15" s="179"/>
      <c r="G15" s="15"/>
      <c r="H15" s="124"/>
      <c r="I15" s="125"/>
      <c r="J15" s="126"/>
    </row>
    <row r="16" spans="1:10" ht="15.75">
      <c r="A16" s="22" t="s">
        <v>137</v>
      </c>
      <c r="B16" s="18" t="s">
        <v>75</v>
      </c>
      <c r="C16" s="18"/>
      <c r="D16" s="18"/>
      <c r="E16" s="18"/>
      <c r="F16" s="5"/>
      <c r="G16" s="88"/>
      <c r="H16" s="117"/>
      <c r="I16" s="127"/>
      <c r="J16" s="128"/>
    </row>
    <row r="17" spans="1:10" ht="33.75" customHeight="1">
      <c r="A17" s="93"/>
      <c r="B17" s="219" t="s">
        <v>209</v>
      </c>
      <c r="C17" s="219"/>
      <c r="D17" s="219"/>
      <c r="E17" s="94" t="s">
        <v>32</v>
      </c>
      <c r="F17" s="79" t="s">
        <v>24</v>
      </c>
      <c r="G17" s="80">
        <v>0.92</v>
      </c>
      <c r="H17" s="129">
        <f>ROUND(G17*$E$3*12,2)</f>
        <v>28073.62</v>
      </c>
      <c r="I17" s="130">
        <f>$I$12*0.08</f>
        <v>7145.1792000000005</v>
      </c>
      <c r="J17" s="131">
        <f>SUM(H17:I17)</f>
        <v>35218.7992</v>
      </c>
    </row>
    <row r="18" spans="1:10" ht="17.25" customHeight="1">
      <c r="A18" s="22"/>
      <c r="B18" s="220" t="s">
        <v>17</v>
      </c>
      <c r="C18" s="220"/>
      <c r="D18" s="220"/>
      <c r="E18" s="94" t="s">
        <v>32</v>
      </c>
      <c r="F18" s="79" t="s">
        <v>19</v>
      </c>
      <c r="G18" s="80">
        <v>0.26</v>
      </c>
      <c r="H18" s="129">
        <f>ROUND(G18*$E$3*12,2)</f>
        <v>7933.85</v>
      </c>
      <c r="I18" s="130">
        <f>$I$12*0.02</f>
        <v>1786.2948000000001</v>
      </c>
      <c r="J18" s="131">
        <f aca="true" t="shared" si="0" ref="J18:J37">SUM(H18:I18)</f>
        <v>9720.1448</v>
      </c>
    </row>
    <row r="19" spans="1:10" ht="20.25" customHeight="1">
      <c r="A19" s="22"/>
      <c r="B19" s="221" t="s">
        <v>23</v>
      </c>
      <c r="C19" s="221"/>
      <c r="D19" s="221"/>
      <c r="E19" s="95" t="s">
        <v>153</v>
      </c>
      <c r="F19" s="81" t="s">
        <v>20</v>
      </c>
      <c r="G19" s="80">
        <v>0.35</v>
      </c>
      <c r="H19" s="129">
        <f>J19-I19</f>
        <v>8295.8882</v>
      </c>
      <c r="I19" s="130">
        <f>$I$12*0.07</f>
        <v>6252.031800000001</v>
      </c>
      <c r="J19" s="131">
        <v>14547.92</v>
      </c>
    </row>
    <row r="20" spans="1:10" ht="20.25" customHeight="1">
      <c r="A20" s="93"/>
      <c r="B20" s="219" t="s">
        <v>31</v>
      </c>
      <c r="C20" s="219"/>
      <c r="D20" s="219"/>
      <c r="E20" s="96" t="s">
        <v>9</v>
      </c>
      <c r="F20" s="82" t="s">
        <v>10</v>
      </c>
      <c r="G20" s="80">
        <v>0.46</v>
      </c>
      <c r="H20" s="129">
        <f>ROUND(G20*$E$3*12,2)</f>
        <v>14036.81</v>
      </c>
      <c r="I20" s="130">
        <f>$I$12*0.04</f>
        <v>3572.5896000000002</v>
      </c>
      <c r="J20" s="131">
        <f t="shared" si="0"/>
        <v>17609.3996</v>
      </c>
    </row>
    <row r="21" spans="1:10" ht="49.5" customHeight="1">
      <c r="A21" s="22"/>
      <c r="B21" s="221" t="s">
        <v>27</v>
      </c>
      <c r="C21" s="221"/>
      <c r="D21" s="221"/>
      <c r="E21" s="95" t="s">
        <v>154</v>
      </c>
      <c r="F21" s="81" t="s">
        <v>25</v>
      </c>
      <c r="G21" s="80">
        <v>0.11</v>
      </c>
      <c r="H21" s="129">
        <f>J21-I21</f>
        <v>9748.7726</v>
      </c>
      <c r="I21" s="130">
        <f>$I$12*0.01</f>
        <v>893.1474000000001</v>
      </c>
      <c r="J21" s="131">
        <v>10641.92</v>
      </c>
    </row>
    <row r="22" spans="1:10" ht="20.25" customHeight="1">
      <c r="A22" s="93"/>
      <c r="B22" s="221" t="s">
        <v>11</v>
      </c>
      <c r="C22" s="221"/>
      <c r="D22" s="221"/>
      <c r="E22" s="95" t="s">
        <v>9</v>
      </c>
      <c r="F22" s="81" t="s">
        <v>12</v>
      </c>
      <c r="G22" s="80">
        <v>0</v>
      </c>
      <c r="H22" s="129">
        <f>J22-I22</f>
        <v>0</v>
      </c>
      <c r="I22" s="130">
        <v>0</v>
      </c>
      <c r="J22" s="131">
        <f>G22*E3*12</f>
        <v>0</v>
      </c>
    </row>
    <row r="23" spans="1:10" ht="20.25" customHeight="1">
      <c r="A23" s="93"/>
      <c r="B23" s="221" t="s">
        <v>26</v>
      </c>
      <c r="C23" s="222"/>
      <c r="D23" s="222"/>
      <c r="E23" s="97" t="s">
        <v>13</v>
      </c>
      <c r="F23" s="78" t="s">
        <v>14</v>
      </c>
      <c r="G23" s="80">
        <v>0.04</v>
      </c>
      <c r="H23" s="129">
        <f>J23-I23</f>
        <v>1732.57578</v>
      </c>
      <c r="I23" s="130">
        <f>$I$12*0.003</f>
        <v>267.94422000000003</v>
      </c>
      <c r="J23" s="131">
        <v>2000.52</v>
      </c>
    </row>
    <row r="24" spans="1:10" ht="28.5" customHeight="1">
      <c r="A24" s="22"/>
      <c r="B24" s="221" t="s">
        <v>155</v>
      </c>
      <c r="C24" s="221"/>
      <c r="D24" s="221"/>
      <c r="E24" s="94" t="s">
        <v>36</v>
      </c>
      <c r="F24" s="44" t="s">
        <v>156</v>
      </c>
      <c r="G24" s="80">
        <v>1.87</v>
      </c>
      <c r="H24" s="129">
        <f aca="true" t="shared" si="1" ref="H24:H29">ROUND(G24*$E$3*12,2)</f>
        <v>57062.68</v>
      </c>
      <c r="I24" s="130">
        <f>$I$12*0.19</f>
        <v>16969.800600000002</v>
      </c>
      <c r="J24" s="131">
        <f t="shared" si="0"/>
        <v>74032.48060000001</v>
      </c>
    </row>
    <row r="25" spans="1:10" ht="26.25" customHeight="1">
      <c r="A25" s="22"/>
      <c r="B25" s="220" t="s">
        <v>15</v>
      </c>
      <c r="C25" s="220"/>
      <c r="D25" s="220"/>
      <c r="E25" s="94" t="s">
        <v>36</v>
      </c>
      <c r="F25" s="44" t="s">
        <v>156</v>
      </c>
      <c r="G25" s="80">
        <v>0.38</v>
      </c>
      <c r="H25" s="129">
        <f>ROUND((G25*$E$3/4*3*12)+(E3*G25/4*1*10),2)</f>
        <v>11112.47</v>
      </c>
      <c r="I25" s="130">
        <v>0</v>
      </c>
      <c r="J25" s="131">
        <f t="shared" si="0"/>
        <v>11112.47</v>
      </c>
    </row>
    <row r="26" spans="1:10" ht="30" customHeight="1">
      <c r="A26" s="22"/>
      <c r="B26" s="223" t="s">
        <v>37</v>
      </c>
      <c r="C26" s="224"/>
      <c r="D26" s="225"/>
      <c r="E26" s="94" t="s">
        <v>36</v>
      </c>
      <c r="F26" s="44" t="s">
        <v>156</v>
      </c>
      <c r="G26" s="98">
        <f>2.97-G27-G28</f>
        <v>2.72</v>
      </c>
      <c r="H26" s="129">
        <f t="shared" si="1"/>
        <v>83000.26</v>
      </c>
      <c r="I26" s="130">
        <f>$I$12*(0.18+0.02)</f>
        <v>17862.948</v>
      </c>
      <c r="J26" s="131">
        <f t="shared" si="0"/>
        <v>100863.208</v>
      </c>
    </row>
    <row r="27" spans="1:10" ht="26.25" customHeight="1">
      <c r="A27" s="93"/>
      <c r="B27" s="221" t="s">
        <v>157</v>
      </c>
      <c r="C27" s="221"/>
      <c r="D27" s="221"/>
      <c r="E27" s="94" t="s">
        <v>36</v>
      </c>
      <c r="F27" s="44" t="s">
        <v>156</v>
      </c>
      <c r="G27" s="98">
        <v>0.25</v>
      </c>
      <c r="H27" s="129">
        <f t="shared" si="1"/>
        <v>7628.7</v>
      </c>
      <c r="I27" s="130">
        <f>$I$12*0.02</f>
        <v>1786.2948000000001</v>
      </c>
      <c r="J27" s="131">
        <f t="shared" si="0"/>
        <v>9414.9948</v>
      </c>
    </row>
    <row r="28" spans="1:10" ht="17.25" customHeight="1">
      <c r="A28" s="22"/>
      <c r="B28" s="221" t="s">
        <v>158</v>
      </c>
      <c r="C28" s="221"/>
      <c r="D28" s="221"/>
      <c r="E28" s="95" t="s">
        <v>9</v>
      </c>
      <c r="F28" s="44" t="s">
        <v>156</v>
      </c>
      <c r="G28" s="98">
        <v>0</v>
      </c>
      <c r="H28" s="129">
        <f t="shared" si="1"/>
        <v>0</v>
      </c>
      <c r="I28" s="130">
        <v>0</v>
      </c>
      <c r="J28" s="131">
        <f t="shared" si="0"/>
        <v>0</v>
      </c>
    </row>
    <row r="29" spans="1:10" ht="17.25" customHeight="1">
      <c r="A29" s="22"/>
      <c r="B29" s="222" t="s">
        <v>21</v>
      </c>
      <c r="C29" s="222"/>
      <c r="D29" s="222"/>
      <c r="E29" s="95" t="s">
        <v>9</v>
      </c>
      <c r="F29" s="44" t="s">
        <v>156</v>
      </c>
      <c r="G29" s="78">
        <v>0.92</v>
      </c>
      <c r="H29" s="129">
        <f t="shared" si="1"/>
        <v>28073.62</v>
      </c>
      <c r="I29" s="130">
        <f>$I$12*0.1</f>
        <v>8931.474</v>
      </c>
      <c r="J29" s="131">
        <f t="shared" si="0"/>
        <v>37005.094</v>
      </c>
    </row>
    <row r="30" spans="1:10" ht="21.75" customHeight="1">
      <c r="A30" s="22"/>
      <c r="B30" s="226" t="s">
        <v>159</v>
      </c>
      <c r="C30" s="227"/>
      <c r="D30" s="228"/>
      <c r="E30" s="95" t="s">
        <v>9</v>
      </c>
      <c r="F30" s="44"/>
      <c r="G30" s="78"/>
      <c r="H30" s="129"/>
      <c r="I30" s="130"/>
      <c r="J30" s="132"/>
    </row>
    <row r="31" spans="1:10" ht="27.75" customHeight="1">
      <c r="A31" s="22"/>
      <c r="B31" s="226" t="s">
        <v>160</v>
      </c>
      <c r="C31" s="227"/>
      <c r="D31" s="228"/>
      <c r="E31" s="94" t="s">
        <v>36</v>
      </c>
      <c r="F31" s="44"/>
      <c r="G31" s="78"/>
      <c r="H31" s="129"/>
      <c r="I31" s="130"/>
      <c r="J31" s="132"/>
    </row>
    <row r="32" spans="1:10" ht="15.75">
      <c r="A32" s="22"/>
      <c r="B32" s="229"/>
      <c r="C32" s="224"/>
      <c r="D32" s="225"/>
      <c r="E32" s="95"/>
      <c r="F32" s="44"/>
      <c r="G32" s="78"/>
      <c r="H32" s="129"/>
      <c r="I32" s="130"/>
      <c r="J32" s="132"/>
    </row>
    <row r="33" spans="1:10" ht="15.75">
      <c r="A33" s="22"/>
      <c r="B33" s="229"/>
      <c r="C33" s="224"/>
      <c r="D33" s="225"/>
      <c r="E33" s="95"/>
      <c r="F33" s="44"/>
      <c r="G33" s="78"/>
      <c r="H33" s="129"/>
      <c r="I33" s="130"/>
      <c r="J33" s="132"/>
    </row>
    <row r="34" spans="1:10" ht="15.75">
      <c r="A34" s="22"/>
      <c r="B34" s="203" t="s">
        <v>30</v>
      </c>
      <c r="C34" s="203"/>
      <c r="D34" s="203"/>
      <c r="E34" s="14"/>
      <c r="F34" s="44"/>
      <c r="G34" s="20">
        <f>SUM(G17:G29)</f>
        <v>8.28</v>
      </c>
      <c r="H34" s="119">
        <f>SUM(H17:H33)</f>
        <v>256699.24657999998</v>
      </c>
      <c r="I34" s="120">
        <f>SUM(I17:I33)</f>
        <v>65467.70442000001</v>
      </c>
      <c r="J34" s="119">
        <f>SUM(J17:J33)</f>
        <v>322166.951</v>
      </c>
    </row>
    <row r="35" spans="1:10" ht="15" customHeight="1">
      <c r="A35" s="22" t="s">
        <v>138</v>
      </c>
      <c r="B35" s="230" t="s">
        <v>161</v>
      </c>
      <c r="C35" s="231"/>
      <c r="D35" s="231"/>
      <c r="E35" s="232"/>
      <c r="F35" s="44" t="s">
        <v>156</v>
      </c>
      <c r="G35" s="23">
        <f>H35/E3/12</f>
        <v>0.3286929621036349</v>
      </c>
      <c r="H35" s="120">
        <v>10030</v>
      </c>
      <c r="I35" s="131">
        <v>0</v>
      </c>
      <c r="J35" s="123">
        <f t="shared" si="0"/>
        <v>10030</v>
      </c>
    </row>
    <row r="36" spans="1:10" ht="14.25" customHeight="1">
      <c r="A36" s="25"/>
      <c r="B36" s="233" t="s">
        <v>76</v>
      </c>
      <c r="C36" s="233"/>
      <c r="D36" s="233"/>
      <c r="E36" s="233"/>
      <c r="F36" s="233"/>
      <c r="G36" s="20">
        <f>SUM(G34:G35)</f>
        <v>8.608692962103634</v>
      </c>
      <c r="H36" s="121">
        <f>SUM(H34:H35)</f>
        <v>266729.24658</v>
      </c>
      <c r="I36" s="122">
        <f>SUM(I34:I35)</f>
        <v>65467.70442000001</v>
      </c>
      <c r="J36" s="121">
        <f>SUM(J34:J35)</f>
        <v>332196.951</v>
      </c>
    </row>
    <row r="37" spans="1:10" ht="15.75">
      <c r="A37" s="22" t="s">
        <v>139</v>
      </c>
      <c r="B37" s="234" t="s">
        <v>162</v>
      </c>
      <c r="C37" s="234"/>
      <c r="D37" s="234"/>
      <c r="E37" s="234"/>
      <c r="F37" s="234"/>
      <c r="G37" s="23"/>
      <c r="H37" s="122">
        <v>0</v>
      </c>
      <c r="I37" s="122">
        <v>0</v>
      </c>
      <c r="J37" s="132">
        <f t="shared" si="0"/>
        <v>0</v>
      </c>
    </row>
    <row r="38" spans="1:10" ht="24.75" customHeight="1">
      <c r="A38" s="25"/>
      <c r="B38" s="233" t="s">
        <v>163</v>
      </c>
      <c r="C38" s="233"/>
      <c r="D38" s="233"/>
      <c r="E38" s="233"/>
      <c r="F38" s="233"/>
      <c r="G38" s="20">
        <f>SUM(G36:G37)</f>
        <v>8.608692962103634</v>
      </c>
      <c r="H38" s="121">
        <f>SUM(H36:H37)</f>
        <v>266729.24658</v>
      </c>
      <c r="I38" s="122">
        <f>SUM(I36:I37)</f>
        <v>65467.70442000001</v>
      </c>
      <c r="J38" s="121">
        <f>SUM(J36:J37)</f>
        <v>332196.951</v>
      </c>
    </row>
    <row r="39" spans="1:10" ht="27" customHeight="1">
      <c r="A39" s="22">
        <v>3</v>
      </c>
      <c r="B39" s="208" t="s">
        <v>164</v>
      </c>
      <c r="C39" s="209"/>
      <c r="D39" s="209"/>
      <c r="E39" s="209"/>
      <c r="F39" s="209"/>
      <c r="G39" s="210"/>
      <c r="H39" s="129">
        <f>H14-H38</f>
        <v>33633.15341999999</v>
      </c>
      <c r="I39" s="129">
        <f>I14-I38</f>
        <v>23847.035579999996</v>
      </c>
      <c r="J39" s="120">
        <f>J14-J38</f>
        <v>57480.188999999955</v>
      </c>
    </row>
    <row r="40" spans="2:6" ht="15.75">
      <c r="B40" s="33"/>
      <c r="F40" s="33"/>
    </row>
    <row r="41" spans="2:9" ht="36" customHeight="1">
      <c r="B41" s="207" t="s">
        <v>165</v>
      </c>
      <c r="C41" s="207"/>
      <c r="D41" s="207"/>
      <c r="E41" s="207"/>
      <c r="F41" s="207"/>
      <c r="G41" s="207"/>
      <c r="H41" s="207"/>
      <c r="I41" s="207"/>
    </row>
    <row r="42" spans="2:4" ht="25.5" customHeight="1">
      <c r="B42" s="33"/>
      <c r="C42" s="33"/>
      <c r="D42" s="33"/>
    </row>
    <row r="43" spans="2:4" ht="15.75">
      <c r="B43" s="45" t="s">
        <v>79</v>
      </c>
      <c r="C43" s="45"/>
      <c r="D43" s="45"/>
    </row>
    <row r="44" spans="2:9" ht="34.5" customHeight="1">
      <c r="B44" s="211" t="s">
        <v>207</v>
      </c>
      <c r="C44" s="211"/>
      <c r="D44" s="211"/>
      <c r="E44" s="211"/>
      <c r="F44" s="211"/>
      <c r="G44" s="211"/>
      <c r="H44" s="211"/>
      <c r="I44" s="33"/>
    </row>
    <row r="45" spans="2:4" ht="15.75" customHeight="1">
      <c r="B45" s="184" t="s">
        <v>82</v>
      </c>
      <c r="C45" s="184"/>
      <c r="D45" s="184"/>
    </row>
  </sheetData>
  <mergeCells count="38">
    <mergeCell ref="B45:D45"/>
    <mergeCell ref="B44:H44"/>
    <mergeCell ref="B37:F37"/>
    <mergeCell ref="B38:F38"/>
    <mergeCell ref="B39:G39"/>
    <mergeCell ref="B41:I41"/>
    <mergeCell ref="B33:D33"/>
    <mergeCell ref="B34:D34"/>
    <mergeCell ref="B35:E35"/>
    <mergeCell ref="B36:F36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2:F12"/>
    <mergeCell ref="B13:F13"/>
    <mergeCell ref="B14:F14"/>
    <mergeCell ref="B15:F15"/>
    <mergeCell ref="B8:F8"/>
    <mergeCell ref="B9:F9"/>
    <mergeCell ref="B10:F10"/>
    <mergeCell ref="B11:F11"/>
    <mergeCell ref="A1:J1"/>
    <mergeCell ref="A2:J2"/>
    <mergeCell ref="B7:D7"/>
    <mergeCell ref="H7:J7"/>
  </mergeCells>
  <printOptions/>
  <pageMargins left="0" right="0" top="0" bottom="0" header="0.5118110236220472" footer="0.5118110236220472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6">
      <selection activeCell="H20" sqref="H20"/>
    </sheetView>
  </sheetViews>
  <sheetFormatPr defaultColWidth="9.00390625" defaultRowHeight="15.75"/>
  <cols>
    <col min="1" max="1" width="7.75390625" style="0" customWidth="1"/>
    <col min="2" max="2" width="24.25390625" style="0" customWidth="1"/>
    <col min="3" max="3" width="3.50390625" style="0" customWidth="1"/>
    <col min="4" max="4" width="15.25390625" style="0" customWidth="1"/>
    <col min="5" max="5" width="16.75390625" style="0" customWidth="1"/>
    <col min="6" max="6" width="9.25390625" style="0" hidden="1" customWidth="1"/>
    <col min="7" max="7" width="6.375" style="0" hidden="1" customWidth="1"/>
    <col min="8" max="8" width="13.00390625" style="0" customWidth="1"/>
    <col min="9" max="9" width="9.875" style="0" bestFit="1" customWidth="1"/>
  </cols>
  <sheetData>
    <row r="1" spans="1:8" ht="120" customHeight="1">
      <c r="A1" s="185" t="s">
        <v>208</v>
      </c>
      <c r="B1" s="185"/>
      <c r="C1" s="185"/>
      <c r="D1" s="185"/>
      <c r="E1" s="185"/>
      <c r="F1" s="185"/>
      <c r="G1" s="185"/>
      <c r="H1" s="185"/>
    </row>
    <row r="2" spans="1:6" ht="18.75">
      <c r="A2" s="1" t="s">
        <v>80</v>
      </c>
      <c r="B2" s="1" t="s">
        <v>84</v>
      </c>
      <c r="C2" s="2"/>
      <c r="D2" s="2" t="s">
        <v>0</v>
      </c>
      <c r="E2" s="26">
        <v>2542.9</v>
      </c>
      <c r="F2" s="2"/>
    </row>
    <row r="3" spans="2:6" ht="15.75">
      <c r="B3" s="3" t="s">
        <v>1</v>
      </c>
      <c r="C3" s="46">
        <v>5</v>
      </c>
      <c r="D3" s="2" t="s">
        <v>2</v>
      </c>
      <c r="E3" s="27">
        <v>64</v>
      </c>
      <c r="F3" s="2"/>
    </row>
    <row r="4" spans="2:7" ht="15.75">
      <c r="B4" s="3" t="s">
        <v>3</v>
      </c>
      <c r="C4" s="4">
        <v>4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83</v>
      </c>
      <c r="F5" s="2"/>
      <c r="G5" s="2"/>
    </row>
    <row r="6" spans="1:8" ht="36" customHeight="1">
      <c r="A6" s="73" t="s">
        <v>61</v>
      </c>
      <c r="B6" s="236" t="s">
        <v>142</v>
      </c>
      <c r="C6" s="237"/>
      <c r="D6" s="238"/>
      <c r="E6" s="74" t="s">
        <v>6</v>
      </c>
      <c r="F6" s="74" t="s">
        <v>7</v>
      </c>
      <c r="G6" s="101" t="s">
        <v>195</v>
      </c>
      <c r="H6" s="102" t="s">
        <v>133</v>
      </c>
    </row>
    <row r="7" spans="1:8" ht="15.75" customHeight="1">
      <c r="A7" s="75">
        <v>1</v>
      </c>
      <c r="B7" s="239" t="s">
        <v>134</v>
      </c>
      <c r="C7" s="239"/>
      <c r="D7" s="239"/>
      <c r="E7" s="239"/>
      <c r="F7" s="239"/>
      <c r="G7" s="76"/>
      <c r="H7" s="103"/>
    </row>
    <row r="8" spans="1:8" ht="33.75" customHeight="1">
      <c r="A8" s="75"/>
      <c r="B8" s="190" t="s">
        <v>196</v>
      </c>
      <c r="C8" s="190"/>
      <c r="D8" s="190"/>
      <c r="E8" s="190"/>
      <c r="F8" s="190"/>
      <c r="G8" s="23">
        <f>G30</f>
        <v>10.580000000000002</v>
      </c>
      <c r="H8" s="77">
        <f>ROUND(E2*G8*12,2)</f>
        <v>322846.58</v>
      </c>
    </row>
    <row r="9" spans="1:8" ht="15.75" customHeight="1">
      <c r="A9" s="75"/>
      <c r="B9" s="235" t="s">
        <v>135</v>
      </c>
      <c r="C9" s="235"/>
      <c r="D9" s="235"/>
      <c r="E9" s="235"/>
      <c r="F9" s="235"/>
      <c r="G9" s="22">
        <v>0.76</v>
      </c>
      <c r="H9" s="103">
        <f>ROUND($E$2*G9*12,0)</f>
        <v>23191</v>
      </c>
    </row>
    <row r="10" spans="1:8" ht="18.75" customHeight="1">
      <c r="A10" s="75">
        <v>2</v>
      </c>
      <c r="B10" s="179" t="s">
        <v>74</v>
      </c>
      <c r="C10" s="179"/>
      <c r="D10" s="179"/>
      <c r="E10" s="179"/>
      <c r="F10" s="179"/>
      <c r="G10" s="78"/>
      <c r="H10" s="103"/>
    </row>
    <row r="11" spans="1:8" ht="15.75" customHeight="1">
      <c r="A11" s="75"/>
      <c r="B11" s="18" t="s">
        <v>75</v>
      </c>
      <c r="C11" s="18"/>
      <c r="D11" s="18"/>
      <c r="E11" s="18"/>
      <c r="F11" s="5"/>
      <c r="G11" s="90"/>
      <c r="H11" s="103"/>
    </row>
    <row r="12" spans="1:8" ht="32.25" customHeight="1">
      <c r="A12" s="104"/>
      <c r="B12" s="240" t="s">
        <v>209</v>
      </c>
      <c r="C12" s="240"/>
      <c r="D12" s="240"/>
      <c r="E12" s="94" t="s">
        <v>32</v>
      </c>
      <c r="F12" s="79" t="s">
        <v>24</v>
      </c>
      <c r="G12" s="80">
        <v>1.06</v>
      </c>
      <c r="H12" s="77">
        <f aca="true" t="shared" si="0" ref="H12:H30">ROUND($E$2*G12*12,0)</f>
        <v>32346</v>
      </c>
    </row>
    <row r="13" spans="1:8" ht="18.75" customHeight="1">
      <c r="A13" s="104"/>
      <c r="B13" s="240" t="s">
        <v>17</v>
      </c>
      <c r="C13" s="240"/>
      <c r="D13" s="240"/>
      <c r="E13" s="94" t="s">
        <v>32</v>
      </c>
      <c r="F13" s="79" t="s">
        <v>19</v>
      </c>
      <c r="G13" s="80">
        <v>0.28</v>
      </c>
      <c r="H13" s="77">
        <f t="shared" si="0"/>
        <v>8544</v>
      </c>
    </row>
    <row r="14" spans="1:8" ht="18.75" customHeight="1">
      <c r="A14" s="104"/>
      <c r="B14" s="241" t="s">
        <v>23</v>
      </c>
      <c r="C14" s="241"/>
      <c r="D14" s="241"/>
      <c r="E14" s="95" t="s">
        <v>153</v>
      </c>
      <c r="F14" s="81" t="s">
        <v>20</v>
      </c>
      <c r="G14" s="80">
        <v>0.39</v>
      </c>
      <c r="H14" s="77">
        <f t="shared" si="0"/>
        <v>11901</v>
      </c>
    </row>
    <row r="15" spans="1:8" ht="15.75" customHeight="1">
      <c r="A15" s="104"/>
      <c r="B15" s="242" t="s">
        <v>31</v>
      </c>
      <c r="C15" s="242"/>
      <c r="D15" s="242"/>
      <c r="E15" s="96" t="s">
        <v>9</v>
      </c>
      <c r="F15" s="82" t="s">
        <v>10</v>
      </c>
      <c r="G15" s="80">
        <v>0.51</v>
      </c>
      <c r="H15" s="77">
        <f t="shared" si="0"/>
        <v>15563</v>
      </c>
    </row>
    <row r="16" spans="1:8" ht="51.75" customHeight="1">
      <c r="A16" s="104"/>
      <c r="B16" s="241" t="s">
        <v>27</v>
      </c>
      <c r="C16" s="241"/>
      <c r="D16" s="241"/>
      <c r="E16" s="95" t="s">
        <v>154</v>
      </c>
      <c r="F16" s="81" t="s">
        <v>25</v>
      </c>
      <c r="G16" s="80">
        <v>0.12</v>
      </c>
      <c r="H16" s="77">
        <f t="shared" si="0"/>
        <v>3662</v>
      </c>
    </row>
    <row r="17" spans="1:8" ht="34.5" customHeight="1">
      <c r="A17" s="104"/>
      <c r="B17" s="241" t="s">
        <v>11</v>
      </c>
      <c r="C17" s="241"/>
      <c r="D17" s="241"/>
      <c r="E17" s="95" t="s">
        <v>9</v>
      </c>
      <c r="F17" s="81" t="s">
        <v>12</v>
      </c>
      <c r="G17" s="80">
        <v>0</v>
      </c>
      <c r="H17" s="77">
        <f t="shared" si="0"/>
        <v>0</v>
      </c>
    </row>
    <row r="18" spans="1:8" ht="30.75" customHeight="1">
      <c r="A18" s="104"/>
      <c r="B18" s="241" t="s">
        <v>26</v>
      </c>
      <c r="C18" s="243"/>
      <c r="D18" s="243"/>
      <c r="E18" s="97" t="s">
        <v>13</v>
      </c>
      <c r="F18" s="78" t="s">
        <v>197</v>
      </c>
      <c r="G18" s="80">
        <v>0.05</v>
      </c>
      <c r="H18" s="77">
        <f t="shared" si="0"/>
        <v>1526</v>
      </c>
    </row>
    <row r="19" spans="1:8" ht="30" customHeight="1">
      <c r="A19" s="104"/>
      <c r="B19" s="241" t="s">
        <v>155</v>
      </c>
      <c r="C19" s="241"/>
      <c r="D19" s="241"/>
      <c r="E19" s="94" t="s">
        <v>36</v>
      </c>
      <c r="F19" s="81" t="s">
        <v>156</v>
      </c>
      <c r="G19" s="80">
        <v>2.15</v>
      </c>
      <c r="H19" s="77">
        <f t="shared" si="0"/>
        <v>65607</v>
      </c>
    </row>
    <row r="20" spans="1:8" ht="52.5" customHeight="1">
      <c r="A20" s="104"/>
      <c r="B20" s="240" t="s">
        <v>15</v>
      </c>
      <c r="C20" s="240"/>
      <c r="D20" s="240"/>
      <c r="E20" s="94" t="s">
        <v>136</v>
      </c>
      <c r="F20" s="81" t="s">
        <v>156</v>
      </c>
      <c r="G20" s="80">
        <v>0.44</v>
      </c>
      <c r="H20" s="77">
        <f>ROUND($E$2*G20/4*3*12,0)</f>
        <v>10070</v>
      </c>
    </row>
    <row r="21" spans="1:8" ht="30.75" customHeight="1">
      <c r="A21" s="104"/>
      <c r="B21" s="241" t="s">
        <v>37</v>
      </c>
      <c r="C21" s="243"/>
      <c r="D21" s="243"/>
      <c r="E21" s="94" t="s">
        <v>36</v>
      </c>
      <c r="F21" s="81" t="s">
        <v>156</v>
      </c>
      <c r="G21" s="80">
        <f>3.46-G22-G23</f>
        <v>3.17</v>
      </c>
      <c r="H21" s="77">
        <f t="shared" si="0"/>
        <v>96732</v>
      </c>
    </row>
    <row r="22" spans="1:8" ht="16.5" customHeight="1">
      <c r="A22" s="104"/>
      <c r="B22" s="241" t="s">
        <v>198</v>
      </c>
      <c r="C22" s="241"/>
      <c r="D22" s="241"/>
      <c r="E22" s="95" t="s">
        <v>9</v>
      </c>
      <c r="F22" s="81" t="s">
        <v>156</v>
      </c>
      <c r="G22" s="80">
        <v>0.29</v>
      </c>
      <c r="H22" s="134">
        <f t="shared" si="0"/>
        <v>8849</v>
      </c>
    </row>
    <row r="23" spans="1:8" ht="22.5" customHeight="1">
      <c r="A23" s="104"/>
      <c r="B23" s="241" t="s">
        <v>158</v>
      </c>
      <c r="C23" s="241"/>
      <c r="D23" s="241"/>
      <c r="E23" s="95" t="s">
        <v>9</v>
      </c>
      <c r="F23" s="81" t="s">
        <v>156</v>
      </c>
      <c r="G23" s="80">
        <v>0</v>
      </c>
      <c r="H23" s="134">
        <f t="shared" si="0"/>
        <v>0</v>
      </c>
    </row>
    <row r="24" spans="1:8" ht="24" customHeight="1">
      <c r="A24" s="104"/>
      <c r="B24" s="243" t="s">
        <v>21</v>
      </c>
      <c r="C24" s="243"/>
      <c r="D24" s="243"/>
      <c r="E24" s="94" t="s">
        <v>36</v>
      </c>
      <c r="F24" s="81" t="s">
        <v>156</v>
      </c>
      <c r="G24" s="80">
        <v>1.06</v>
      </c>
      <c r="H24" s="77">
        <f t="shared" si="0"/>
        <v>32346</v>
      </c>
    </row>
    <row r="25" spans="1:8" ht="15.75">
      <c r="A25" s="22"/>
      <c r="B25" s="226" t="s">
        <v>159</v>
      </c>
      <c r="C25" s="227"/>
      <c r="D25" s="228"/>
      <c r="E25" s="95" t="s">
        <v>9</v>
      </c>
      <c r="F25" s="81"/>
      <c r="G25" s="80"/>
      <c r="H25" s="77"/>
    </row>
    <row r="26" spans="1:8" ht="12.75" customHeight="1">
      <c r="A26" s="22"/>
      <c r="B26" s="226" t="s">
        <v>160</v>
      </c>
      <c r="C26" s="227"/>
      <c r="D26" s="228"/>
      <c r="E26" s="94" t="s">
        <v>36</v>
      </c>
      <c r="F26" s="81"/>
      <c r="G26" s="80"/>
      <c r="H26" s="77"/>
    </row>
    <row r="27" spans="1:8" ht="15.75">
      <c r="A27" s="104"/>
      <c r="B27" s="229"/>
      <c r="C27" s="224"/>
      <c r="D27" s="225"/>
      <c r="E27" s="94"/>
      <c r="F27" s="81"/>
      <c r="G27" s="80"/>
      <c r="H27" s="77"/>
    </row>
    <row r="28" spans="1:8" ht="20.25" customHeight="1">
      <c r="A28" s="104"/>
      <c r="B28" s="248" t="s">
        <v>30</v>
      </c>
      <c r="C28" s="249"/>
      <c r="D28" s="250"/>
      <c r="E28" s="14"/>
      <c r="F28" s="81"/>
      <c r="G28" s="20">
        <f>SUM(G12:G27)</f>
        <v>9.520000000000001</v>
      </c>
      <c r="H28" s="77">
        <f t="shared" si="0"/>
        <v>290501</v>
      </c>
    </row>
    <row r="29" spans="1:8" ht="15.75" customHeight="1">
      <c r="A29" s="75" t="s">
        <v>138</v>
      </c>
      <c r="B29" s="230" t="s">
        <v>199</v>
      </c>
      <c r="C29" s="231"/>
      <c r="D29" s="231"/>
      <c r="E29" s="232"/>
      <c r="F29" s="48" t="s">
        <v>200</v>
      </c>
      <c r="G29" s="23">
        <v>1.06</v>
      </c>
      <c r="H29" s="77">
        <f t="shared" si="0"/>
        <v>32346</v>
      </c>
    </row>
    <row r="30" spans="1:8" ht="15.75" customHeight="1">
      <c r="A30" s="75"/>
      <c r="B30" s="244" t="s">
        <v>201</v>
      </c>
      <c r="C30" s="244"/>
      <c r="D30" s="244"/>
      <c r="E30" s="244"/>
      <c r="F30" s="244"/>
      <c r="G30" s="20">
        <f>SUM(G28:G29)</f>
        <v>10.580000000000002</v>
      </c>
      <c r="H30" s="105">
        <f t="shared" si="0"/>
        <v>322847</v>
      </c>
    </row>
    <row r="31" spans="1:8" ht="15.75" customHeight="1" thickBot="1">
      <c r="A31" s="106">
        <v>3</v>
      </c>
      <c r="B31" s="245" t="s">
        <v>202</v>
      </c>
      <c r="C31" s="246"/>
      <c r="D31" s="247"/>
      <c r="E31" s="107"/>
      <c r="F31" s="108" t="s">
        <v>200</v>
      </c>
      <c r="G31" s="83">
        <v>0.76</v>
      </c>
      <c r="H31" s="109">
        <f>ROUND($E$2*G31*12,0)</f>
        <v>23191</v>
      </c>
    </row>
    <row r="32" spans="1:8" ht="15.75" customHeight="1">
      <c r="A32" s="110"/>
      <c r="B32" s="111"/>
      <c r="C32" s="111"/>
      <c r="D32" s="111"/>
      <c r="E32" s="111"/>
      <c r="F32" s="112"/>
      <c r="G32" s="84"/>
      <c r="H32" s="113"/>
    </row>
    <row r="33" spans="1:9" ht="18.75" customHeight="1">
      <c r="A33" s="114" t="s">
        <v>203</v>
      </c>
      <c r="B33" s="114"/>
      <c r="C33" s="114"/>
      <c r="D33" s="114"/>
      <c r="E33" s="114"/>
      <c r="F33" s="114"/>
      <c r="G33" s="114"/>
      <c r="H33" s="114"/>
      <c r="I33" s="114"/>
    </row>
    <row r="34" spans="1:8" ht="15.75">
      <c r="A34" s="207" t="s">
        <v>165</v>
      </c>
      <c r="B34" s="207"/>
      <c r="C34" s="207"/>
      <c r="D34" s="207"/>
      <c r="E34" s="207"/>
      <c r="F34" s="207"/>
      <c r="G34" s="207"/>
      <c r="H34" s="207"/>
    </row>
    <row r="35" spans="2:4" ht="15.75" customHeight="1">
      <c r="B35" s="45"/>
      <c r="C35" s="45"/>
      <c r="D35" s="45"/>
    </row>
    <row r="36" spans="2:9" ht="15.75">
      <c r="B36" s="33"/>
      <c r="C36" s="33"/>
      <c r="D36" s="33"/>
      <c r="E36" s="33"/>
      <c r="F36" s="33"/>
      <c r="G36" s="33"/>
      <c r="H36" s="33"/>
      <c r="I36" s="33" t="s">
        <v>204</v>
      </c>
    </row>
    <row r="37" spans="2:4" ht="15.75" customHeight="1">
      <c r="B37" s="115"/>
      <c r="C37" s="115"/>
      <c r="D37" s="115"/>
    </row>
  </sheetData>
  <mergeCells count="27">
    <mergeCell ref="A34:H34"/>
    <mergeCell ref="B12:D12"/>
    <mergeCell ref="B29:E29"/>
    <mergeCell ref="B30:F30"/>
    <mergeCell ref="B31:D31"/>
    <mergeCell ref="B17:D17"/>
    <mergeCell ref="B26:D26"/>
    <mergeCell ref="B27:D27"/>
    <mergeCell ref="B28:D28"/>
    <mergeCell ref="B22:D22"/>
    <mergeCell ref="B23:D23"/>
    <mergeCell ref="B24:D24"/>
    <mergeCell ref="B25:D25"/>
    <mergeCell ref="B18:D18"/>
    <mergeCell ref="B19:D19"/>
    <mergeCell ref="B20:D20"/>
    <mergeCell ref="B21:D21"/>
    <mergeCell ref="B13:D13"/>
    <mergeCell ref="B14:D14"/>
    <mergeCell ref="B15:D15"/>
    <mergeCell ref="B16:D16"/>
    <mergeCell ref="B9:F9"/>
    <mergeCell ref="B10:F10"/>
    <mergeCell ref="A1:H1"/>
    <mergeCell ref="B8:F8"/>
    <mergeCell ref="B6:D6"/>
    <mergeCell ref="B7:F7"/>
  </mergeCells>
  <printOptions/>
  <pageMargins left="0.7874015748031497" right="0.31496062992125984" top="0" bottom="0" header="0.5118110236220472" footer="0.5118110236220472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zoomScale="60" workbookViewId="0" topLeftCell="A3">
      <selection activeCell="G17" sqref="G17:G29"/>
    </sheetView>
  </sheetViews>
  <sheetFormatPr defaultColWidth="9.00390625" defaultRowHeight="15.75"/>
  <cols>
    <col min="1" max="1" width="8.125" style="0" customWidth="1"/>
    <col min="2" max="2" width="25.125" style="0" customWidth="1"/>
    <col min="3" max="3" width="3.75390625" style="0" customWidth="1"/>
    <col min="4" max="4" width="24.875" style="0" customWidth="1"/>
    <col min="5" max="5" width="16.25390625" style="0" customWidth="1"/>
    <col min="6" max="6" width="0.12890625" style="0" hidden="1" customWidth="1"/>
    <col min="7" max="7" width="7.375" style="0" bestFit="1" customWidth="1"/>
    <col min="8" max="8" width="13.125" style="0" customWidth="1"/>
    <col min="9" max="9" width="12.00390625" style="0" customWidth="1"/>
    <col min="10" max="10" width="12.625" style="0" customWidth="1"/>
  </cols>
  <sheetData>
    <row r="1" spans="1:10" ht="110.25" customHeight="1">
      <c r="A1" s="185" t="s">
        <v>214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54" customHeight="1">
      <c r="A2" s="212" t="s">
        <v>213</v>
      </c>
      <c r="B2" s="212"/>
      <c r="C2" s="212"/>
      <c r="D2" s="212"/>
      <c r="E2" s="212"/>
      <c r="F2" s="212"/>
      <c r="G2" s="212"/>
      <c r="H2" s="212"/>
      <c r="I2" s="212"/>
      <c r="J2" s="212"/>
    </row>
    <row r="3" spans="1:9" ht="18.75">
      <c r="A3" s="1" t="s">
        <v>80</v>
      </c>
      <c r="B3" s="1" t="s">
        <v>84</v>
      </c>
      <c r="C3" s="2"/>
      <c r="D3" s="2" t="s">
        <v>0</v>
      </c>
      <c r="E3" s="26">
        <v>2542.9</v>
      </c>
      <c r="F3" s="2"/>
      <c r="H3" s="85">
        <v>1047.22</v>
      </c>
      <c r="I3" s="85"/>
    </row>
    <row r="4" spans="2:8" ht="15.75">
      <c r="B4" s="3" t="s">
        <v>1</v>
      </c>
      <c r="C4" s="46">
        <v>5</v>
      </c>
      <c r="D4" s="2" t="s">
        <v>2</v>
      </c>
      <c r="E4" s="27">
        <v>64</v>
      </c>
      <c r="F4" s="2"/>
      <c r="H4" t="s">
        <v>100</v>
      </c>
    </row>
    <row r="5" spans="2:9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  <c r="H5" s="2" t="s">
        <v>140</v>
      </c>
      <c r="I5" s="2"/>
    </row>
    <row r="6" spans="2:8" ht="15.75">
      <c r="B6" s="3"/>
      <c r="C6" s="4"/>
      <c r="D6" s="2" t="s">
        <v>5</v>
      </c>
      <c r="E6" s="2" t="s">
        <v>83</v>
      </c>
      <c r="F6" s="2"/>
      <c r="G6" s="2"/>
      <c r="H6" t="s">
        <v>141</v>
      </c>
    </row>
    <row r="7" spans="1:10" ht="39" customHeight="1">
      <c r="A7" s="21" t="s">
        <v>61</v>
      </c>
      <c r="B7" s="213" t="s">
        <v>142</v>
      </c>
      <c r="C7" s="214"/>
      <c r="D7" s="215"/>
      <c r="E7" s="11" t="s">
        <v>6</v>
      </c>
      <c r="F7" s="11" t="s">
        <v>7</v>
      </c>
      <c r="G7" s="86" t="s">
        <v>22</v>
      </c>
      <c r="H7" s="216" t="s">
        <v>143</v>
      </c>
      <c r="I7" s="217"/>
      <c r="J7" s="218"/>
    </row>
    <row r="8" spans="1:10" ht="15.75">
      <c r="A8" s="22">
        <v>1</v>
      </c>
      <c r="B8" s="181"/>
      <c r="C8" s="182"/>
      <c r="D8" s="182"/>
      <c r="E8" s="182"/>
      <c r="F8" s="183"/>
      <c r="G8" s="87"/>
      <c r="H8" s="88" t="s">
        <v>144</v>
      </c>
      <c r="I8" s="89" t="s">
        <v>145</v>
      </c>
      <c r="J8" s="89" t="s">
        <v>146</v>
      </c>
    </row>
    <row r="9" spans="1:10" ht="15.75">
      <c r="A9" s="22"/>
      <c r="B9" s="181" t="s">
        <v>147</v>
      </c>
      <c r="C9" s="182"/>
      <c r="D9" s="182"/>
      <c r="E9" s="182"/>
      <c r="F9" s="183"/>
      <c r="G9" s="90"/>
      <c r="H9" s="90"/>
      <c r="I9" s="54"/>
      <c r="J9" s="89"/>
    </row>
    <row r="10" spans="1:10" ht="15.75" customHeight="1">
      <c r="A10" s="91"/>
      <c r="B10" s="189" t="s">
        <v>148</v>
      </c>
      <c r="C10" s="189"/>
      <c r="D10" s="189"/>
      <c r="E10" s="189"/>
      <c r="F10" s="189"/>
      <c r="G10" s="15"/>
      <c r="H10" s="116">
        <v>300789.08</v>
      </c>
      <c r="I10" s="118"/>
      <c r="J10" s="116">
        <f>H10+I10</f>
        <v>300789.08</v>
      </c>
    </row>
    <row r="11" spans="1:10" ht="15.75" customHeight="1">
      <c r="A11" s="91"/>
      <c r="B11" s="189" t="s">
        <v>149</v>
      </c>
      <c r="C11" s="189"/>
      <c r="D11" s="189"/>
      <c r="E11" s="189"/>
      <c r="F11" s="189"/>
      <c r="G11" s="15"/>
      <c r="H11" s="116">
        <v>19216.67</v>
      </c>
      <c r="I11" s="118"/>
      <c r="J11" s="116">
        <f>H11+I11</f>
        <v>19216.67</v>
      </c>
    </row>
    <row r="12" spans="1:10" ht="15.75" customHeight="1">
      <c r="A12" s="22"/>
      <c r="B12" s="189" t="s">
        <v>150</v>
      </c>
      <c r="C12" s="189"/>
      <c r="D12" s="189"/>
      <c r="E12" s="189"/>
      <c r="F12" s="189"/>
      <c r="G12" s="15"/>
      <c r="H12" s="116"/>
      <c r="I12" s="118">
        <v>160534.24</v>
      </c>
      <c r="J12" s="116">
        <f>H12+I12</f>
        <v>160534.24</v>
      </c>
    </row>
    <row r="13" spans="1:10" ht="15.75">
      <c r="A13" s="22"/>
      <c r="B13" s="189" t="s">
        <v>151</v>
      </c>
      <c r="C13" s="189"/>
      <c r="D13" s="189"/>
      <c r="E13" s="189"/>
      <c r="F13" s="189"/>
      <c r="G13" s="15"/>
      <c r="H13" s="118">
        <v>0</v>
      </c>
      <c r="I13" s="118">
        <v>0</v>
      </c>
      <c r="J13" s="116">
        <f>H13+I13</f>
        <v>0</v>
      </c>
    </row>
    <row r="14" spans="1:10" ht="15.75" customHeight="1">
      <c r="A14" s="22"/>
      <c r="B14" s="190" t="s">
        <v>152</v>
      </c>
      <c r="C14" s="190"/>
      <c r="D14" s="190"/>
      <c r="E14" s="190"/>
      <c r="F14" s="190"/>
      <c r="G14" s="15"/>
      <c r="H14" s="123">
        <f>SUM(H10:H13)</f>
        <v>320005.75</v>
      </c>
      <c r="I14" s="123">
        <f>SUM(I10:I13)</f>
        <v>160534.24</v>
      </c>
      <c r="J14" s="123">
        <f>SUM(J10:J13)</f>
        <v>480539.99</v>
      </c>
    </row>
    <row r="15" spans="1:10" ht="18.75" customHeight="1">
      <c r="A15" s="22">
        <v>2</v>
      </c>
      <c r="B15" s="179" t="s">
        <v>74</v>
      </c>
      <c r="C15" s="179"/>
      <c r="D15" s="179"/>
      <c r="E15" s="179"/>
      <c r="F15" s="179"/>
      <c r="G15" s="15"/>
      <c r="H15" s="124"/>
      <c r="I15" s="125"/>
      <c r="J15" s="126"/>
    </row>
    <row r="16" spans="1:10" ht="15.75">
      <c r="A16" s="22" t="s">
        <v>137</v>
      </c>
      <c r="B16" s="18" t="s">
        <v>75</v>
      </c>
      <c r="C16" s="18"/>
      <c r="D16" s="18"/>
      <c r="E16" s="18"/>
      <c r="F16" s="5"/>
      <c r="G16" s="88"/>
      <c r="H16" s="117"/>
      <c r="I16" s="127"/>
      <c r="J16" s="128"/>
    </row>
    <row r="17" spans="1:10" ht="33.75" customHeight="1">
      <c r="A17" s="93"/>
      <c r="B17" s="219" t="s">
        <v>209</v>
      </c>
      <c r="C17" s="219"/>
      <c r="D17" s="219"/>
      <c r="E17" s="94" t="s">
        <v>32</v>
      </c>
      <c r="F17" s="79" t="s">
        <v>24</v>
      </c>
      <c r="G17" s="80">
        <v>1.06</v>
      </c>
      <c r="H17" s="129">
        <f>ROUND(G17*$E$3*12,2)</f>
        <v>32345.69</v>
      </c>
      <c r="I17" s="130">
        <f>$I$12*0.08</f>
        <v>12842.7392</v>
      </c>
      <c r="J17" s="131">
        <f>SUM(H17:I17)</f>
        <v>45188.4292</v>
      </c>
    </row>
    <row r="18" spans="1:10" ht="17.25" customHeight="1">
      <c r="A18" s="22"/>
      <c r="B18" s="220" t="s">
        <v>17</v>
      </c>
      <c r="C18" s="220"/>
      <c r="D18" s="220"/>
      <c r="E18" s="94" t="s">
        <v>32</v>
      </c>
      <c r="F18" s="79" t="s">
        <v>19</v>
      </c>
      <c r="G18" s="80">
        <v>0.28</v>
      </c>
      <c r="H18" s="129">
        <f>ROUND(G18*$E$3*12,2)</f>
        <v>8544.14</v>
      </c>
      <c r="I18" s="130">
        <f>$I$12*0.02</f>
        <v>3210.6848</v>
      </c>
      <c r="J18" s="131">
        <f>SUM(H18:I18)</f>
        <v>11754.824799999999</v>
      </c>
    </row>
    <row r="19" spans="1:10" ht="20.25" customHeight="1">
      <c r="A19" s="22"/>
      <c r="B19" s="221" t="s">
        <v>23</v>
      </c>
      <c r="C19" s="221"/>
      <c r="D19" s="221"/>
      <c r="E19" s="95" t="s">
        <v>153</v>
      </c>
      <c r="F19" s="81" t="s">
        <v>20</v>
      </c>
      <c r="G19" s="80">
        <v>0.39</v>
      </c>
      <c r="H19" s="129">
        <f>J19-I19</f>
        <v>3579.8632</v>
      </c>
      <c r="I19" s="130">
        <f>$I$12*0.07</f>
        <v>11237.3968</v>
      </c>
      <c r="J19" s="131">
        <v>14817.26</v>
      </c>
    </row>
    <row r="20" spans="1:10" ht="20.25" customHeight="1">
      <c r="A20" s="93"/>
      <c r="B20" s="219" t="s">
        <v>31</v>
      </c>
      <c r="C20" s="219"/>
      <c r="D20" s="219"/>
      <c r="E20" s="96" t="s">
        <v>9</v>
      </c>
      <c r="F20" s="82" t="s">
        <v>10</v>
      </c>
      <c r="G20" s="80">
        <v>0.51</v>
      </c>
      <c r="H20" s="129">
        <f>ROUND(G20*$E$3*12,2)</f>
        <v>15562.55</v>
      </c>
      <c r="I20" s="130">
        <f>$I$12*0.04</f>
        <v>6421.3696</v>
      </c>
      <c r="J20" s="131">
        <f>SUM(H20:I20)</f>
        <v>21983.9196</v>
      </c>
    </row>
    <row r="21" spans="1:10" ht="49.5" customHeight="1">
      <c r="A21" s="22"/>
      <c r="B21" s="221" t="s">
        <v>27</v>
      </c>
      <c r="C21" s="221"/>
      <c r="D21" s="221"/>
      <c r="E21" s="95" t="s">
        <v>154</v>
      </c>
      <c r="F21" s="81" t="s">
        <v>25</v>
      </c>
      <c r="G21" s="80">
        <v>0.12</v>
      </c>
      <c r="H21" s="129">
        <f>J21-I21</f>
        <v>2368.8976</v>
      </c>
      <c r="I21" s="130">
        <f>$I$12*0.01</f>
        <v>1605.3424</v>
      </c>
      <c r="J21" s="131">
        <v>3974.24</v>
      </c>
    </row>
    <row r="22" spans="1:10" ht="20.25" customHeight="1">
      <c r="A22" s="93"/>
      <c r="B22" s="221" t="s">
        <v>11</v>
      </c>
      <c r="C22" s="221"/>
      <c r="D22" s="221"/>
      <c r="E22" s="95" t="s">
        <v>9</v>
      </c>
      <c r="F22" s="81" t="s">
        <v>12</v>
      </c>
      <c r="G22" s="80">
        <v>0</v>
      </c>
      <c r="H22" s="129">
        <f>J22-I22</f>
        <v>0</v>
      </c>
      <c r="I22" s="130">
        <v>0</v>
      </c>
      <c r="J22" s="131">
        <f>G22*E3*12</f>
        <v>0</v>
      </c>
    </row>
    <row r="23" spans="1:10" ht="20.25" customHeight="1">
      <c r="A23" s="93"/>
      <c r="B23" s="221" t="s">
        <v>26</v>
      </c>
      <c r="C23" s="222"/>
      <c r="D23" s="222"/>
      <c r="E23" s="97" t="s">
        <v>13</v>
      </c>
      <c r="F23" s="78" t="s">
        <v>14</v>
      </c>
      <c r="G23" s="80">
        <v>0.05</v>
      </c>
      <c r="H23" s="129">
        <f>J23-I23</f>
        <v>2169.61728</v>
      </c>
      <c r="I23" s="130">
        <f>$I$12*0.003</f>
        <v>481.60272</v>
      </c>
      <c r="J23" s="131">
        <v>2651.22</v>
      </c>
    </row>
    <row r="24" spans="1:10" ht="28.5" customHeight="1">
      <c r="A24" s="22"/>
      <c r="B24" s="221" t="s">
        <v>155</v>
      </c>
      <c r="C24" s="221"/>
      <c r="D24" s="221"/>
      <c r="E24" s="94" t="s">
        <v>36</v>
      </c>
      <c r="F24" s="44" t="s">
        <v>156</v>
      </c>
      <c r="G24" s="80">
        <v>2.15</v>
      </c>
      <c r="H24" s="129">
        <f aca="true" t="shared" si="0" ref="H24:H29">ROUND(G24*$E$3*12,2)</f>
        <v>65606.82</v>
      </c>
      <c r="I24" s="130">
        <f>$I$12*0.19</f>
        <v>30501.505599999997</v>
      </c>
      <c r="J24" s="131">
        <f aca="true" t="shared" si="1" ref="J24:J29">SUM(H24:I24)</f>
        <v>96108.32560000001</v>
      </c>
    </row>
    <row r="25" spans="1:10" ht="26.25" customHeight="1">
      <c r="A25" s="22"/>
      <c r="B25" s="220" t="s">
        <v>15</v>
      </c>
      <c r="C25" s="220"/>
      <c r="D25" s="220"/>
      <c r="E25" s="94" t="s">
        <v>36</v>
      </c>
      <c r="F25" s="44" t="s">
        <v>156</v>
      </c>
      <c r="G25" s="80">
        <v>0.44</v>
      </c>
      <c r="H25" s="129">
        <f>ROUND((G25*$E$3/4*3*12),2)</f>
        <v>10069.88</v>
      </c>
      <c r="I25" s="130">
        <v>0</v>
      </c>
      <c r="J25" s="131">
        <f t="shared" si="1"/>
        <v>10069.88</v>
      </c>
    </row>
    <row r="26" spans="1:10" ht="30" customHeight="1">
      <c r="A26" s="22"/>
      <c r="B26" s="223" t="s">
        <v>37</v>
      </c>
      <c r="C26" s="224"/>
      <c r="D26" s="225"/>
      <c r="E26" s="94" t="s">
        <v>36</v>
      </c>
      <c r="F26" s="44" t="s">
        <v>156</v>
      </c>
      <c r="G26" s="98">
        <f>3.46-G27-G28</f>
        <v>3.17</v>
      </c>
      <c r="H26" s="129">
        <f t="shared" si="0"/>
        <v>96731.92</v>
      </c>
      <c r="I26" s="130">
        <f>$I$12*(0.18+0.02)</f>
        <v>32106.847999999994</v>
      </c>
      <c r="J26" s="131">
        <f t="shared" si="1"/>
        <v>128838.768</v>
      </c>
    </row>
    <row r="27" spans="1:10" ht="26.25" customHeight="1">
      <c r="A27" s="93"/>
      <c r="B27" s="221" t="s">
        <v>157</v>
      </c>
      <c r="C27" s="221"/>
      <c r="D27" s="221"/>
      <c r="E27" s="94" t="s">
        <v>36</v>
      </c>
      <c r="F27" s="44" t="s">
        <v>156</v>
      </c>
      <c r="G27" s="98">
        <v>0.29</v>
      </c>
      <c r="H27" s="129">
        <f t="shared" si="0"/>
        <v>8849.29</v>
      </c>
      <c r="I27" s="130">
        <f>$I$12*0.02</f>
        <v>3210.6848</v>
      </c>
      <c r="J27" s="131">
        <f t="shared" si="1"/>
        <v>12059.9748</v>
      </c>
    </row>
    <row r="28" spans="1:10" ht="17.25" customHeight="1">
      <c r="A28" s="22"/>
      <c r="B28" s="221" t="s">
        <v>158</v>
      </c>
      <c r="C28" s="221"/>
      <c r="D28" s="221"/>
      <c r="E28" s="95" t="s">
        <v>9</v>
      </c>
      <c r="F28" s="44" t="s">
        <v>156</v>
      </c>
      <c r="G28" s="98">
        <v>0</v>
      </c>
      <c r="H28" s="129">
        <f t="shared" si="0"/>
        <v>0</v>
      </c>
      <c r="I28" s="130">
        <v>0</v>
      </c>
      <c r="J28" s="131">
        <f t="shared" si="1"/>
        <v>0</v>
      </c>
    </row>
    <row r="29" spans="1:10" ht="27.75" customHeight="1">
      <c r="A29" s="22"/>
      <c r="B29" s="222" t="s">
        <v>21</v>
      </c>
      <c r="C29" s="222"/>
      <c r="D29" s="222"/>
      <c r="E29" s="95" t="s">
        <v>36</v>
      </c>
      <c r="F29" s="44" t="s">
        <v>156</v>
      </c>
      <c r="G29" s="78">
        <v>1.06</v>
      </c>
      <c r="H29" s="129">
        <f t="shared" si="0"/>
        <v>32345.69</v>
      </c>
      <c r="I29" s="130">
        <f>$I$12*0.1</f>
        <v>16053.423999999999</v>
      </c>
      <c r="J29" s="131">
        <f t="shared" si="1"/>
        <v>48399.114</v>
      </c>
    </row>
    <row r="30" spans="1:10" ht="15.75">
      <c r="A30" s="22"/>
      <c r="B30" s="229"/>
      <c r="C30" s="224"/>
      <c r="D30" s="225"/>
      <c r="E30" s="95"/>
      <c r="F30" s="44"/>
      <c r="G30" s="78"/>
      <c r="H30" s="129"/>
      <c r="I30" s="130"/>
      <c r="J30" s="132"/>
    </row>
    <row r="31" spans="1:10" ht="15.75">
      <c r="A31" s="22"/>
      <c r="B31" s="229"/>
      <c r="C31" s="224"/>
      <c r="D31" s="225"/>
      <c r="E31" s="95"/>
      <c r="F31" s="44"/>
      <c r="G31" s="78"/>
      <c r="H31" s="129"/>
      <c r="I31" s="130"/>
      <c r="J31" s="132"/>
    </row>
    <row r="32" spans="1:10" ht="15.75">
      <c r="A32" s="22"/>
      <c r="B32" s="203" t="s">
        <v>30</v>
      </c>
      <c r="C32" s="203"/>
      <c r="D32" s="203"/>
      <c r="E32" s="14"/>
      <c r="F32" s="44"/>
      <c r="G32" s="20">
        <f>SUM(G17:G29)</f>
        <v>9.520000000000001</v>
      </c>
      <c r="H32" s="119">
        <f>SUM(H17:H31)</f>
        <v>278174.35808</v>
      </c>
      <c r="I32" s="120">
        <f>SUM(I17:I31)</f>
        <v>117671.59792</v>
      </c>
      <c r="J32" s="119">
        <f>SUM(J17:J31)</f>
        <v>395845.956</v>
      </c>
    </row>
    <row r="33" spans="1:10" ht="21.75" customHeight="1">
      <c r="A33" s="22"/>
      <c r="B33" s="226" t="s">
        <v>159</v>
      </c>
      <c r="C33" s="227"/>
      <c r="D33" s="228"/>
      <c r="E33" s="95" t="s">
        <v>9</v>
      </c>
      <c r="F33" s="44"/>
      <c r="G33" s="78"/>
      <c r="H33" s="129"/>
      <c r="I33" s="130"/>
      <c r="J33" s="132"/>
    </row>
    <row r="34" spans="1:10" ht="27.75" customHeight="1">
      <c r="A34" s="22"/>
      <c r="B34" s="226" t="s">
        <v>160</v>
      </c>
      <c r="C34" s="227"/>
      <c r="D34" s="228"/>
      <c r="E34" s="94" t="s">
        <v>36</v>
      </c>
      <c r="F34" s="44"/>
      <c r="G34" s="78"/>
      <c r="H34" s="129"/>
      <c r="I34" s="130"/>
      <c r="J34" s="132"/>
    </row>
    <row r="35" spans="1:10" ht="15.75">
      <c r="A35" s="22"/>
      <c r="B35" s="229"/>
      <c r="C35" s="224"/>
      <c r="D35" s="225"/>
      <c r="E35" s="95"/>
      <c r="F35" s="44"/>
      <c r="G35" s="78"/>
      <c r="H35" s="129"/>
      <c r="I35" s="130"/>
      <c r="J35" s="132"/>
    </row>
    <row r="36" spans="1:10" ht="15" customHeight="1">
      <c r="A36" s="22" t="s">
        <v>138</v>
      </c>
      <c r="B36" s="230" t="s">
        <v>161</v>
      </c>
      <c r="C36" s="231"/>
      <c r="D36" s="231"/>
      <c r="E36" s="232"/>
      <c r="F36" s="44" t="s">
        <v>156</v>
      </c>
      <c r="G36" s="23">
        <f>H36/E3/12</f>
        <v>9.42709767063851</v>
      </c>
      <c r="H36" s="120">
        <v>287666</v>
      </c>
      <c r="I36" s="131">
        <v>0</v>
      </c>
      <c r="J36" s="123">
        <f>SUM(H36:I36)</f>
        <v>287666</v>
      </c>
    </row>
    <row r="37" spans="1:10" ht="14.25" customHeight="1">
      <c r="A37" s="25"/>
      <c r="B37" s="233" t="s">
        <v>76</v>
      </c>
      <c r="C37" s="233"/>
      <c r="D37" s="233"/>
      <c r="E37" s="233"/>
      <c r="F37" s="233"/>
      <c r="G37" s="20">
        <f>SUM(G32:G36)</f>
        <v>18.947097670638513</v>
      </c>
      <c r="H37" s="121">
        <f>SUM(H32:H36)</f>
        <v>565840.3580799999</v>
      </c>
      <c r="I37" s="122">
        <f>SUM(I32:I36)</f>
        <v>117671.59792</v>
      </c>
      <c r="J37" s="121">
        <f>SUM(J32:J36)</f>
        <v>683511.956</v>
      </c>
    </row>
    <row r="38" spans="1:10" ht="15.75">
      <c r="A38" s="22" t="s">
        <v>139</v>
      </c>
      <c r="B38" s="234" t="s">
        <v>162</v>
      </c>
      <c r="C38" s="234"/>
      <c r="D38" s="234"/>
      <c r="E38" s="234"/>
      <c r="F38" s="234"/>
      <c r="G38" s="23"/>
      <c r="H38" s="122">
        <v>0</v>
      </c>
      <c r="I38" s="122">
        <v>0</v>
      </c>
      <c r="J38" s="132">
        <f>SUM(H38:I38)</f>
        <v>0</v>
      </c>
    </row>
    <row r="39" spans="1:10" ht="19.5" customHeight="1">
      <c r="A39" s="25"/>
      <c r="B39" s="233" t="s">
        <v>163</v>
      </c>
      <c r="C39" s="233"/>
      <c r="D39" s="233"/>
      <c r="E39" s="233"/>
      <c r="F39" s="233"/>
      <c r="G39" s="20">
        <f>SUM(G37:G38)</f>
        <v>18.947097670638513</v>
      </c>
      <c r="H39" s="121">
        <f>SUM(H37:H38)</f>
        <v>565840.3580799999</v>
      </c>
      <c r="I39" s="122">
        <f>SUM(I37:I38)</f>
        <v>117671.59792</v>
      </c>
      <c r="J39" s="121">
        <f>SUM(J37:J38)</f>
        <v>683511.956</v>
      </c>
    </row>
    <row r="40" spans="1:10" ht="19.5" customHeight="1">
      <c r="A40" s="22">
        <v>3</v>
      </c>
      <c r="B40" s="208" t="s">
        <v>212</v>
      </c>
      <c r="C40" s="209"/>
      <c r="D40" s="209"/>
      <c r="E40" s="209"/>
      <c r="F40" s="209"/>
      <c r="G40" s="210"/>
      <c r="H40" s="129">
        <f>H14-H39</f>
        <v>-245834.60807999992</v>
      </c>
      <c r="I40" s="129">
        <f>I14-I39</f>
        <v>42862.64207999999</v>
      </c>
      <c r="J40" s="120">
        <f>J14-J39</f>
        <v>-202971.96600000001</v>
      </c>
    </row>
    <row r="41" spans="2:6" ht="15.75">
      <c r="B41" s="33"/>
      <c r="F41" s="33"/>
    </row>
    <row r="42" spans="2:9" ht="23.25" customHeight="1">
      <c r="B42" s="207" t="s">
        <v>215</v>
      </c>
      <c r="C42" s="207"/>
      <c r="D42" s="207"/>
      <c r="E42" s="207"/>
      <c r="F42" s="207"/>
      <c r="G42" s="207"/>
      <c r="H42" s="207"/>
      <c r="I42" s="207"/>
    </row>
    <row r="43" spans="2:4" ht="23.25" customHeight="1">
      <c r="B43" s="33"/>
      <c r="C43" s="33"/>
      <c r="D43" s="33"/>
    </row>
    <row r="44" spans="2:4" ht="23.25" customHeight="1">
      <c r="B44" s="45" t="s">
        <v>79</v>
      </c>
      <c r="C44" s="45"/>
      <c r="D44" s="45"/>
    </row>
    <row r="45" spans="2:9" ht="23.25" customHeight="1">
      <c r="B45" s="211" t="s">
        <v>216</v>
      </c>
      <c r="C45" s="211"/>
      <c r="D45" s="211"/>
      <c r="E45" s="211"/>
      <c r="F45" s="211"/>
      <c r="G45" s="211"/>
      <c r="H45" s="211"/>
      <c r="I45" s="33"/>
    </row>
    <row r="46" spans="2:4" ht="15.75" customHeight="1">
      <c r="B46" s="184" t="s">
        <v>82</v>
      </c>
      <c r="C46" s="184"/>
      <c r="D46" s="184"/>
    </row>
  </sheetData>
  <mergeCells count="39">
    <mergeCell ref="A1:J1"/>
    <mergeCell ref="A2:J2"/>
    <mergeCell ref="B7:D7"/>
    <mergeCell ref="H7:J7"/>
    <mergeCell ref="B8:F8"/>
    <mergeCell ref="B9:F9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21:D21"/>
    <mergeCell ref="B22:D22"/>
    <mergeCell ref="B23:D23"/>
    <mergeCell ref="B24:D24"/>
    <mergeCell ref="B29:D29"/>
    <mergeCell ref="B30:D30"/>
    <mergeCell ref="B25:D25"/>
    <mergeCell ref="B26:D26"/>
    <mergeCell ref="B27:D27"/>
    <mergeCell ref="B28:D28"/>
    <mergeCell ref="B31:D31"/>
    <mergeCell ref="B32:D32"/>
    <mergeCell ref="B36:E36"/>
    <mergeCell ref="B37:F37"/>
    <mergeCell ref="B45:H45"/>
    <mergeCell ref="B46:D46"/>
    <mergeCell ref="B33:D33"/>
    <mergeCell ref="B34:D34"/>
    <mergeCell ref="B35:D35"/>
    <mergeCell ref="B38:F38"/>
    <mergeCell ref="B39:F39"/>
    <mergeCell ref="B40:G40"/>
    <mergeCell ref="B42:I42"/>
  </mergeCells>
  <printOptions/>
  <pageMargins left="0" right="0" top="0" bottom="0" header="0.5118110236220472" footer="0.5118110236220472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E2" sqref="E2:E5"/>
    </sheetView>
  </sheetViews>
  <sheetFormatPr defaultColWidth="9.00390625" defaultRowHeight="15.75"/>
  <cols>
    <col min="1" max="1" width="7.75390625" style="0" customWidth="1"/>
    <col min="2" max="2" width="24.25390625" style="0" customWidth="1"/>
    <col min="3" max="3" width="3.50390625" style="0" customWidth="1"/>
    <col min="4" max="4" width="15.25390625" style="0" customWidth="1"/>
    <col min="5" max="5" width="16.625" style="0" customWidth="1"/>
    <col min="6" max="6" width="9.25390625" style="0" hidden="1" customWidth="1"/>
    <col min="7" max="7" width="8.25390625" style="0" customWidth="1"/>
    <col min="8" max="8" width="13.00390625" style="0" customWidth="1"/>
    <col min="9" max="9" width="9.875" style="0" bestFit="1" customWidth="1"/>
  </cols>
  <sheetData>
    <row r="1" spans="1:8" ht="69.75" customHeight="1">
      <c r="A1" s="185" t="s">
        <v>223</v>
      </c>
      <c r="B1" s="185"/>
      <c r="C1" s="185"/>
      <c r="D1" s="185"/>
      <c r="E1" s="185"/>
      <c r="F1" s="185"/>
      <c r="G1" s="185"/>
      <c r="H1" s="185"/>
    </row>
    <row r="2" spans="1:6" ht="18.75">
      <c r="A2" s="1" t="s">
        <v>80</v>
      </c>
      <c r="B2" s="1" t="s">
        <v>84</v>
      </c>
      <c r="C2" s="2"/>
      <c r="D2" s="2" t="s">
        <v>0</v>
      </c>
      <c r="E2" s="137">
        <v>2696.22</v>
      </c>
      <c r="F2" s="2"/>
    </row>
    <row r="3" spans="2:6" ht="15.75">
      <c r="B3" s="3" t="s">
        <v>1</v>
      </c>
      <c r="C3" s="46">
        <v>5</v>
      </c>
      <c r="D3" s="2" t="s">
        <v>2</v>
      </c>
      <c r="E3" s="27">
        <v>64</v>
      </c>
      <c r="F3" s="2"/>
    </row>
    <row r="4" spans="2:7" ht="15.75">
      <c r="B4" s="3" t="s">
        <v>3</v>
      </c>
      <c r="C4" s="4">
        <v>4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83</v>
      </c>
      <c r="F5" s="2"/>
      <c r="G5" s="2"/>
    </row>
    <row r="6" spans="1:8" ht="36" customHeight="1">
      <c r="A6" s="73" t="s">
        <v>61</v>
      </c>
      <c r="B6" s="236" t="s">
        <v>142</v>
      </c>
      <c r="C6" s="237"/>
      <c r="D6" s="238"/>
      <c r="E6" s="74" t="s">
        <v>6</v>
      </c>
      <c r="F6" s="74" t="s">
        <v>7</v>
      </c>
      <c r="G6" s="101" t="s">
        <v>195</v>
      </c>
      <c r="H6" s="102" t="s">
        <v>133</v>
      </c>
    </row>
    <row r="7" spans="1:8" ht="15.75" customHeight="1">
      <c r="A7" s="75">
        <v>1</v>
      </c>
      <c r="B7" s="239" t="s">
        <v>134</v>
      </c>
      <c r="C7" s="239"/>
      <c r="D7" s="239"/>
      <c r="E7" s="239"/>
      <c r="F7" s="239"/>
      <c r="G7" s="76"/>
      <c r="H7" s="103"/>
    </row>
    <row r="8" spans="1:8" ht="33.75" customHeight="1">
      <c r="A8" s="75"/>
      <c r="B8" s="190" t="s">
        <v>196</v>
      </c>
      <c r="C8" s="190"/>
      <c r="D8" s="190"/>
      <c r="E8" s="190"/>
      <c r="F8" s="190"/>
      <c r="G8" s="23">
        <f>G30</f>
        <v>10.89</v>
      </c>
      <c r="H8" s="77">
        <f>ROUND(E2*G8*12,2)</f>
        <v>352342.03</v>
      </c>
    </row>
    <row r="9" spans="1:8" ht="15.75" customHeight="1">
      <c r="A9" s="75"/>
      <c r="B9" s="235" t="s">
        <v>135</v>
      </c>
      <c r="C9" s="235"/>
      <c r="D9" s="235"/>
      <c r="E9" s="235"/>
      <c r="F9" s="235"/>
      <c r="G9" s="22">
        <v>0.78</v>
      </c>
      <c r="H9" s="103">
        <f>ROUND($E$2*G9*12,0)</f>
        <v>25237</v>
      </c>
    </row>
    <row r="10" spans="1:8" ht="18.75" customHeight="1">
      <c r="A10" s="75">
        <v>2</v>
      </c>
      <c r="B10" s="179" t="s">
        <v>74</v>
      </c>
      <c r="C10" s="179"/>
      <c r="D10" s="179"/>
      <c r="E10" s="179"/>
      <c r="F10" s="179"/>
      <c r="G10" s="78"/>
      <c r="H10" s="103"/>
    </row>
    <row r="11" spans="1:8" ht="15.75" customHeight="1">
      <c r="A11" s="75"/>
      <c r="B11" s="18" t="s">
        <v>75</v>
      </c>
      <c r="C11" s="18"/>
      <c r="D11" s="18"/>
      <c r="E11" s="18"/>
      <c r="F11" s="5"/>
      <c r="G11" s="90"/>
      <c r="H11" s="103"/>
    </row>
    <row r="12" spans="1:8" ht="32.25" customHeight="1">
      <c r="A12" s="104"/>
      <c r="B12" s="240" t="s">
        <v>209</v>
      </c>
      <c r="C12" s="240"/>
      <c r="D12" s="240"/>
      <c r="E12" s="94" t="s">
        <v>32</v>
      </c>
      <c r="F12" s="79" t="s">
        <v>24</v>
      </c>
      <c r="G12" s="80">
        <v>1.09</v>
      </c>
      <c r="H12" s="77">
        <f aca="true" t="shared" si="0" ref="H12:H30">ROUND($E$2*G12*12,0)</f>
        <v>35267</v>
      </c>
    </row>
    <row r="13" spans="1:8" ht="18.75" customHeight="1">
      <c r="A13" s="104"/>
      <c r="B13" s="240" t="s">
        <v>17</v>
      </c>
      <c r="C13" s="240"/>
      <c r="D13" s="240"/>
      <c r="E13" s="94" t="s">
        <v>32</v>
      </c>
      <c r="F13" s="79" t="s">
        <v>19</v>
      </c>
      <c r="G13" s="80">
        <v>0.29</v>
      </c>
      <c r="H13" s="77">
        <f t="shared" si="0"/>
        <v>9383</v>
      </c>
    </row>
    <row r="14" spans="1:8" ht="18.75" customHeight="1">
      <c r="A14" s="104"/>
      <c r="B14" s="241" t="s">
        <v>23</v>
      </c>
      <c r="C14" s="241"/>
      <c r="D14" s="241"/>
      <c r="E14" s="95" t="s">
        <v>153</v>
      </c>
      <c r="F14" s="81" t="s">
        <v>20</v>
      </c>
      <c r="G14" s="80">
        <v>0.4</v>
      </c>
      <c r="H14" s="77">
        <f t="shared" si="0"/>
        <v>12942</v>
      </c>
    </row>
    <row r="15" spans="1:8" ht="15.75" customHeight="1">
      <c r="A15" s="104"/>
      <c r="B15" s="242" t="s">
        <v>31</v>
      </c>
      <c r="C15" s="242"/>
      <c r="D15" s="242"/>
      <c r="E15" s="96" t="s">
        <v>9</v>
      </c>
      <c r="F15" s="82" t="s">
        <v>10</v>
      </c>
      <c r="G15" s="80">
        <v>0.53</v>
      </c>
      <c r="H15" s="77">
        <f t="shared" si="0"/>
        <v>17148</v>
      </c>
    </row>
    <row r="16" spans="1:8" ht="51.75" customHeight="1">
      <c r="A16" s="104"/>
      <c r="B16" s="241" t="s">
        <v>27</v>
      </c>
      <c r="C16" s="241"/>
      <c r="D16" s="241"/>
      <c r="E16" s="95" t="s">
        <v>154</v>
      </c>
      <c r="F16" s="81" t="s">
        <v>25</v>
      </c>
      <c r="G16" s="80">
        <v>0.12</v>
      </c>
      <c r="H16" s="77">
        <f t="shared" si="0"/>
        <v>3883</v>
      </c>
    </row>
    <row r="17" spans="1:8" ht="34.5" customHeight="1">
      <c r="A17" s="104"/>
      <c r="B17" s="241" t="s">
        <v>11</v>
      </c>
      <c r="C17" s="241"/>
      <c r="D17" s="241"/>
      <c r="E17" s="95" t="s">
        <v>9</v>
      </c>
      <c r="F17" s="81" t="s">
        <v>12</v>
      </c>
      <c r="G17" s="80">
        <v>0</v>
      </c>
      <c r="H17" s="77">
        <f t="shared" si="0"/>
        <v>0</v>
      </c>
    </row>
    <row r="18" spans="1:8" ht="30.75" customHeight="1">
      <c r="A18" s="104"/>
      <c r="B18" s="241" t="s">
        <v>26</v>
      </c>
      <c r="C18" s="243"/>
      <c r="D18" s="243"/>
      <c r="E18" s="97" t="s">
        <v>13</v>
      </c>
      <c r="F18" s="78" t="s">
        <v>197</v>
      </c>
      <c r="G18" s="80">
        <v>0.05</v>
      </c>
      <c r="H18" s="77">
        <f t="shared" si="0"/>
        <v>1618</v>
      </c>
    </row>
    <row r="19" spans="1:8" ht="30" customHeight="1">
      <c r="A19" s="104"/>
      <c r="B19" s="241" t="s">
        <v>155</v>
      </c>
      <c r="C19" s="241"/>
      <c r="D19" s="241"/>
      <c r="E19" s="94" t="s">
        <v>36</v>
      </c>
      <c r="F19" s="81" t="s">
        <v>156</v>
      </c>
      <c r="G19" s="80">
        <v>2.21</v>
      </c>
      <c r="H19" s="77">
        <f t="shared" si="0"/>
        <v>71504</v>
      </c>
    </row>
    <row r="20" spans="1:8" ht="52.5" customHeight="1">
      <c r="A20" s="104"/>
      <c r="B20" s="240" t="s">
        <v>15</v>
      </c>
      <c r="C20" s="240"/>
      <c r="D20" s="240"/>
      <c r="E20" s="94" t="s">
        <v>136</v>
      </c>
      <c r="F20" s="81" t="s">
        <v>156</v>
      </c>
      <c r="G20" s="80">
        <v>0.45</v>
      </c>
      <c r="H20" s="77">
        <f>ROUND($E$2*G20/4*3*12,0)</f>
        <v>10920</v>
      </c>
    </row>
    <row r="21" spans="1:8" ht="30.75" customHeight="1">
      <c r="A21" s="104"/>
      <c r="B21" s="241" t="s">
        <v>37</v>
      </c>
      <c r="C21" s="243"/>
      <c r="D21" s="243"/>
      <c r="E21" s="94" t="s">
        <v>36</v>
      </c>
      <c r="F21" s="81" t="s">
        <v>156</v>
      </c>
      <c r="G21" s="80">
        <f>3.57-G22-G23</f>
        <v>3.27</v>
      </c>
      <c r="H21" s="77">
        <f t="shared" si="0"/>
        <v>105800</v>
      </c>
    </row>
    <row r="22" spans="1:8" ht="16.5" customHeight="1">
      <c r="A22" s="104"/>
      <c r="B22" s="241" t="s">
        <v>198</v>
      </c>
      <c r="C22" s="241"/>
      <c r="D22" s="241"/>
      <c r="E22" s="95" t="s">
        <v>9</v>
      </c>
      <c r="F22" s="81" t="s">
        <v>156</v>
      </c>
      <c r="G22" s="80">
        <v>0.3</v>
      </c>
      <c r="H22" s="134">
        <f t="shared" si="0"/>
        <v>9706</v>
      </c>
    </row>
    <row r="23" spans="1:8" ht="22.5" customHeight="1">
      <c r="A23" s="104"/>
      <c r="B23" s="241" t="s">
        <v>158</v>
      </c>
      <c r="C23" s="241"/>
      <c r="D23" s="241"/>
      <c r="E23" s="95" t="s">
        <v>9</v>
      </c>
      <c r="F23" s="81" t="s">
        <v>156</v>
      </c>
      <c r="G23" s="80">
        <v>0</v>
      </c>
      <c r="H23" s="134">
        <f t="shared" si="0"/>
        <v>0</v>
      </c>
    </row>
    <row r="24" spans="1:8" ht="24" customHeight="1">
      <c r="A24" s="104"/>
      <c r="B24" s="243" t="s">
        <v>21</v>
      </c>
      <c r="C24" s="243"/>
      <c r="D24" s="243"/>
      <c r="E24" s="94" t="s">
        <v>36</v>
      </c>
      <c r="F24" s="81" t="s">
        <v>156</v>
      </c>
      <c r="G24" s="80">
        <v>1.09</v>
      </c>
      <c r="H24" s="77">
        <f t="shared" si="0"/>
        <v>35267</v>
      </c>
    </row>
    <row r="25" spans="1:8" ht="15.75">
      <c r="A25" s="22"/>
      <c r="B25" s="226" t="s">
        <v>159</v>
      </c>
      <c r="C25" s="227"/>
      <c r="D25" s="228"/>
      <c r="E25" s="95" t="s">
        <v>9</v>
      </c>
      <c r="F25" s="81"/>
      <c r="G25" s="80"/>
      <c r="H25" s="77"/>
    </row>
    <row r="26" spans="1:8" ht="12.75" customHeight="1">
      <c r="A26" s="22"/>
      <c r="B26" s="226" t="s">
        <v>160</v>
      </c>
      <c r="C26" s="227"/>
      <c r="D26" s="228"/>
      <c r="E26" s="94"/>
      <c r="F26" s="81"/>
      <c r="G26" s="80"/>
      <c r="H26" s="77"/>
    </row>
    <row r="27" spans="1:8" ht="15.75">
      <c r="A27" s="104"/>
      <c r="B27" s="229"/>
      <c r="C27" s="224"/>
      <c r="D27" s="225"/>
      <c r="E27" s="94"/>
      <c r="F27" s="81"/>
      <c r="G27" s="80"/>
      <c r="H27" s="77"/>
    </row>
    <row r="28" spans="1:8" ht="20.25" customHeight="1">
      <c r="A28" s="104"/>
      <c r="B28" s="248" t="s">
        <v>30</v>
      </c>
      <c r="C28" s="249"/>
      <c r="D28" s="250"/>
      <c r="E28" s="14"/>
      <c r="F28" s="81"/>
      <c r="G28" s="20">
        <f>SUM(G12:G27)</f>
        <v>9.8</v>
      </c>
      <c r="H28" s="77">
        <f t="shared" si="0"/>
        <v>317075</v>
      </c>
    </row>
    <row r="29" spans="1:8" ht="15.75" customHeight="1">
      <c r="A29" s="75" t="s">
        <v>138</v>
      </c>
      <c r="B29" s="230" t="s">
        <v>222</v>
      </c>
      <c r="C29" s="231"/>
      <c r="D29" s="231"/>
      <c r="E29" s="232"/>
      <c r="F29" s="48" t="s">
        <v>200</v>
      </c>
      <c r="G29" s="23">
        <v>1.09</v>
      </c>
      <c r="H29" s="77">
        <f t="shared" si="0"/>
        <v>35267</v>
      </c>
    </row>
    <row r="30" spans="1:8" ht="15.75" customHeight="1">
      <c r="A30" s="75"/>
      <c r="B30" s="244" t="s">
        <v>201</v>
      </c>
      <c r="C30" s="244"/>
      <c r="D30" s="244"/>
      <c r="E30" s="244"/>
      <c r="F30" s="244"/>
      <c r="G30" s="20">
        <f>SUM(G28:G29)</f>
        <v>10.89</v>
      </c>
      <c r="H30" s="105">
        <f t="shared" si="0"/>
        <v>352342</v>
      </c>
    </row>
    <row r="31" spans="1:8" ht="15.75" customHeight="1" thickBot="1">
      <c r="A31" s="106">
        <v>3</v>
      </c>
      <c r="B31" s="245" t="s">
        <v>218</v>
      </c>
      <c r="C31" s="246"/>
      <c r="D31" s="247"/>
      <c r="E31" s="107" t="s">
        <v>221</v>
      </c>
      <c r="F31" s="108" t="s">
        <v>200</v>
      </c>
      <c r="G31" s="83">
        <v>0.78</v>
      </c>
      <c r="H31" s="109">
        <f>ROUND($E$2*G31*12,0)</f>
        <v>25237</v>
      </c>
    </row>
    <row r="32" spans="1:8" ht="15.75" customHeight="1">
      <c r="A32" s="110"/>
      <c r="B32" s="111"/>
      <c r="C32" s="111"/>
      <c r="D32" s="111"/>
      <c r="E32" s="111"/>
      <c r="F32" s="112"/>
      <c r="G32" s="84"/>
      <c r="H32" s="113"/>
    </row>
    <row r="33" spans="1:9" ht="51.75" customHeight="1">
      <c r="A33" s="114" t="s">
        <v>203</v>
      </c>
      <c r="B33" s="251" t="s">
        <v>224</v>
      </c>
      <c r="C33" s="251"/>
      <c r="D33" s="251"/>
      <c r="E33" s="251"/>
      <c r="F33" s="114"/>
      <c r="G33" s="114"/>
      <c r="H33" s="114"/>
      <c r="I33" s="114"/>
    </row>
    <row r="34" spans="1:9" ht="32.25" customHeight="1">
      <c r="A34" s="136" t="s">
        <v>219</v>
      </c>
      <c r="B34" s="135"/>
      <c r="C34" s="135"/>
      <c r="D34" s="135"/>
      <c r="E34" s="135"/>
      <c r="F34" s="114"/>
      <c r="G34" s="114"/>
      <c r="H34" s="114"/>
      <c r="I34" s="114"/>
    </row>
    <row r="35" spans="1:8" ht="32.25" customHeight="1">
      <c r="A35" s="207" t="s">
        <v>220</v>
      </c>
      <c r="B35" s="207"/>
      <c r="C35" s="207"/>
      <c r="D35" s="207"/>
      <c r="E35" s="207"/>
      <c r="F35" s="207"/>
      <c r="G35" s="207"/>
      <c r="H35" s="207"/>
    </row>
    <row r="36" spans="2:4" ht="15.75" customHeight="1">
      <c r="B36" s="45"/>
      <c r="C36" s="45"/>
      <c r="D36" s="45"/>
    </row>
  </sheetData>
  <mergeCells count="28">
    <mergeCell ref="A1:H1"/>
    <mergeCell ref="B6:D6"/>
    <mergeCell ref="B7:F7"/>
    <mergeCell ref="B8:F8"/>
    <mergeCell ref="B9:F9"/>
    <mergeCell ref="B10:F10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30:F30"/>
    <mergeCell ref="B31:D31"/>
    <mergeCell ref="A35:H35"/>
    <mergeCell ref="B26:D26"/>
    <mergeCell ref="B27:D27"/>
    <mergeCell ref="B28:D28"/>
    <mergeCell ref="B29:E29"/>
    <mergeCell ref="B33:E33"/>
  </mergeCells>
  <printOptions/>
  <pageMargins left="0.66" right="0" top="0" bottom="0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workbookViewId="0" topLeftCell="A1">
      <selection activeCell="I27" sqref="I1:J16384"/>
    </sheetView>
  </sheetViews>
  <sheetFormatPr defaultColWidth="9.00390625" defaultRowHeight="15.75"/>
  <cols>
    <col min="1" max="1" width="8.125" style="0" customWidth="1"/>
    <col min="2" max="2" width="25.125" style="0" customWidth="1"/>
    <col min="3" max="3" width="3.75390625" style="0" customWidth="1"/>
    <col min="4" max="4" width="24.875" style="0" customWidth="1"/>
    <col min="5" max="5" width="18.875" style="0" customWidth="1"/>
    <col min="6" max="6" width="0.12890625" style="0" hidden="1" customWidth="1"/>
    <col min="7" max="7" width="14.875" style="0" hidden="1" customWidth="1"/>
    <col min="8" max="8" width="13.125" style="0" hidden="1" customWidth="1"/>
    <col min="9" max="9" width="12.00390625" style="0" hidden="1" customWidth="1"/>
    <col min="10" max="10" width="12.625" style="0" hidden="1" customWidth="1"/>
    <col min="11" max="11" width="15.375" style="0" customWidth="1"/>
    <col min="12" max="13" width="0" style="0" hidden="1" customWidth="1"/>
  </cols>
  <sheetData>
    <row r="1" spans="1:11" ht="110.25" customHeight="1">
      <c r="A1" s="185" t="s">
        <v>225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65.25" customHeight="1">
      <c r="A2" s="202" t="s">
        <v>226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9" ht="31.5">
      <c r="A3" s="1" t="s">
        <v>80</v>
      </c>
      <c r="B3" s="1" t="s">
        <v>84</v>
      </c>
      <c r="C3" s="2"/>
      <c r="D3" s="139" t="s">
        <v>228</v>
      </c>
      <c r="E3" s="137">
        <v>2696.22</v>
      </c>
      <c r="F3" s="2"/>
      <c r="H3" s="85"/>
      <c r="I3" s="85"/>
    </row>
    <row r="4" spans="2:6" ht="15.75">
      <c r="B4" s="3" t="s">
        <v>1</v>
      </c>
      <c r="C4" s="46">
        <v>5</v>
      </c>
      <c r="D4" s="2" t="s">
        <v>2</v>
      </c>
      <c r="E4" s="27" t="s">
        <v>227</v>
      </c>
      <c r="F4" s="2"/>
    </row>
    <row r="5" spans="2:9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  <c r="H5" s="2"/>
      <c r="I5" s="2"/>
    </row>
    <row r="6" spans="2:7" ht="15.75">
      <c r="B6" s="3"/>
      <c r="C6" s="4"/>
      <c r="D6" s="2" t="s">
        <v>5</v>
      </c>
      <c r="E6" s="2" t="s">
        <v>83</v>
      </c>
      <c r="F6" s="2"/>
      <c r="G6" s="2"/>
    </row>
    <row r="7" spans="1:13" ht="39" customHeight="1">
      <c r="A7" s="21" t="s">
        <v>61</v>
      </c>
      <c r="B7" s="213" t="s">
        <v>142</v>
      </c>
      <c r="C7" s="214"/>
      <c r="D7" s="215"/>
      <c r="E7" s="11" t="s">
        <v>6</v>
      </c>
      <c r="F7" s="11" t="s">
        <v>7</v>
      </c>
      <c r="G7" s="86" t="s">
        <v>229</v>
      </c>
      <c r="H7" s="140" t="s">
        <v>230</v>
      </c>
      <c r="I7" s="216" t="s">
        <v>231</v>
      </c>
      <c r="J7" s="217"/>
      <c r="K7" s="218"/>
      <c r="L7" s="53">
        <v>12</v>
      </c>
      <c r="M7" s="141" t="s">
        <v>232</v>
      </c>
    </row>
    <row r="8" spans="1:11" ht="15.75">
      <c r="A8" s="22">
        <v>1</v>
      </c>
      <c r="B8" s="181"/>
      <c r="C8" s="182"/>
      <c r="D8" s="182"/>
      <c r="E8" s="182"/>
      <c r="F8" s="183"/>
      <c r="G8" s="142"/>
      <c r="H8" s="142"/>
      <c r="I8" s="143" t="s">
        <v>144</v>
      </c>
      <c r="J8" s="89" t="s">
        <v>145</v>
      </c>
      <c r="K8" s="89" t="s">
        <v>146</v>
      </c>
    </row>
    <row r="9" spans="1:11" ht="15.75">
      <c r="A9" s="22"/>
      <c r="B9" s="181" t="s">
        <v>147</v>
      </c>
      <c r="C9" s="182"/>
      <c r="D9" s="182"/>
      <c r="E9" s="182"/>
      <c r="F9" s="183"/>
      <c r="G9" s="54"/>
      <c r="H9" s="54"/>
      <c r="I9" s="54"/>
      <c r="J9" s="54"/>
      <c r="K9" s="89"/>
    </row>
    <row r="10" spans="1:11" ht="15.75" customHeight="1">
      <c r="A10" s="91"/>
      <c r="B10" s="189" t="s">
        <v>148</v>
      </c>
      <c r="C10" s="189"/>
      <c r="D10" s="189"/>
      <c r="E10" s="189"/>
      <c r="F10" s="189"/>
      <c r="G10" s="15"/>
      <c r="H10" s="15"/>
      <c r="I10" s="144">
        <v>338960.63</v>
      </c>
      <c r="J10" s="76"/>
      <c r="K10" s="92">
        <f>I10+J10</f>
        <v>338960.63</v>
      </c>
    </row>
    <row r="11" spans="1:11" ht="15.75" customHeight="1">
      <c r="A11" s="91"/>
      <c r="B11" s="189" t="s">
        <v>149</v>
      </c>
      <c r="C11" s="189"/>
      <c r="D11" s="189"/>
      <c r="E11" s="189"/>
      <c r="F11" s="189"/>
      <c r="G11" s="15"/>
      <c r="H11" s="15"/>
      <c r="I11" s="16">
        <v>21038.66</v>
      </c>
      <c r="J11" s="76"/>
      <c r="K11" s="92">
        <f>I11+J11</f>
        <v>21038.66</v>
      </c>
    </row>
    <row r="12" spans="1:11" ht="15.75" customHeight="1">
      <c r="A12" s="22"/>
      <c r="B12" s="189" t="s">
        <v>150</v>
      </c>
      <c r="C12" s="189"/>
      <c r="D12" s="189"/>
      <c r="E12" s="189"/>
      <c r="F12" s="189"/>
      <c r="G12" s="15"/>
      <c r="H12" s="15"/>
      <c r="I12" s="144"/>
      <c r="J12" s="76">
        <v>165375.39</v>
      </c>
      <c r="K12" s="92">
        <f>I12+J12</f>
        <v>165375.39</v>
      </c>
    </row>
    <row r="13" spans="1:11" ht="15.75">
      <c r="A13" s="22"/>
      <c r="B13" s="189" t="s">
        <v>151</v>
      </c>
      <c r="C13" s="189"/>
      <c r="D13" s="189"/>
      <c r="E13" s="189"/>
      <c r="F13" s="189"/>
      <c r="G13" s="15"/>
      <c r="H13" s="15"/>
      <c r="I13" s="144">
        <v>0</v>
      </c>
      <c r="J13" s="145">
        <v>0</v>
      </c>
      <c r="K13" s="92">
        <f>I13+J13</f>
        <v>0</v>
      </c>
    </row>
    <row r="14" spans="1:11" ht="15.75" customHeight="1">
      <c r="A14" s="22"/>
      <c r="B14" s="190" t="s">
        <v>152</v>
      </c>
      <c r="C14" s="190"/>
      <c r="D14" s="190"/>
      <c r="E14" s="190"/>
      <c r="F14" s="190"/>
      <c r="G14" s="15"/>
      <c r="H14" s="15"/>
      <c r="I14" s="36">
        <f>SUM(I10:I12)</f>
        <v>359999.29</v>
      </c>
      <c r="J14" s="146">
        <f>SUM(J10:J12)</f>
        <v>165375.39</v>
      </c>
      <c r="K14" s="36">
        <f>SUM(K10:K13)</f>
        <v>525374.6799999999</v>
      </c>
    </row>
    <row r="15" spans="1:11" ht="18.75" customHeight="1">
      <c r="A15" s="22">
        <v>2</v>
      </c>
      <c r="B15" s="252" t="s">
        <v>74</v>
      </c>
      <c r="C15" s="252"/>
      <c r="D15" s="252"/>
      <c r="E15" s="252"/>
      <c r="F15" s="252"/>
      <c r="G15" s="15"/>
      <c r="H15" s="15"/>
      <c r="I15" s="144"/>
      <c r="J15" s="76"/>
      <c r="K15" s="34"/>
    </row>
    <row r="16" spans="1:11" ht="15.75">
      <c r="A16" s="22" t="s">
        <v>137</v>
      </c>
      <c r="B16" s="147" t="s">
        <v>75</v>
      </c>
      <c r="C16" s="147"/>
      <c r="D16" s="147"/>
      <c r="E16" s="147"/>
      <c r="F16" s="148"/>
      <c r="G16" s="143"/>
      <c r="H16" s="143"/>
      <c r="I16" s="143"/>
      <c r="J16" s="138"/>
      <c r="K16" s="89"/>
    </row>
    <row r="17" spans="1:11" ht="33.75" customHeight="1">
      <c r="A17" s="93"/>
      <c r="B17" s="219" t="s">
        <v>233</v>
      </c>
      <c r="C17" s="219"/>
      <c r="D17" s="219"/>
      <c r="E17" s="149" t="s">
        <v>32</v>
      </c>
      <c r="F17" s="79" t="s">
        <v>24</v>
      </c>
      <c r="G17" s="80">
        <v>1.06</v>
      </c>
      <c r="H17" s="80">
        <v>1.12</v>
      </c>
      <c r="I17" s="150">
        <f>ROUND($E$3*G17*6,2)+ROUND($E$3*H17*($L$7-6),2)</f>
        <v>35266.56</v>
      </c>
      <c r="J17" s="151"/>
      <c r="K17" s="152">
        <f>SUM(I17:J17)</f>
        <v>35266.56</v>
      </c>
    </row>
    <row r="18" spans="1:11" ht="17.25" customHeight="1">
      <c r="A18" s="22"/>
      <c r="B18" s="220" t="s">
        <v>17</v>
      </c>
      <c r="C18" s="220"/>
      <c r="D18" s="220"/>
      <c r="E18" s="149" t="s">
        <v>32</v>
      </c>
      <c r="F18" s="79" t="s">
        <v>19</v>
      </c>
      <c r="G18" s="80">
        <v>0.28</v>
      </c>
      <c r="H18" s="80">
        <v>0.3</v>
      </c>
      <c r="I18" s="150">
        <f>ROUND($E$3*G18*6,2)+ROUND($E$3*H18*($L$7-6),2)</f>
        <v>9382.849999999999</v>
      </c>
      <c r="J18" s="151"/>
      <c r="K18" s="152">
        <f>SUM(I18:J18)</f>
        <v>9382.849999999999</v>
      </c>
    </row>
    <row r="19" spans="1:11" ht="20.25" customHeight="1">
      <c r="A19" s="22"/>
      <c r="B19" s="221" t="s">
        <v>23</v>
      </c>
      <c r="C19" s="221"/>
      <c r="D19" s="221"/>
      <c r="E19" s="153" t="s">
        <v>153</v>
      </c>
      <c r="F19" s="81" t="s">
        <v>20</v>
      </c>
      <c r="G19" s="80">
        <v>0.39</v>
      </c>
      <c r="H19" s="80">
        <v>0.41</v>
      </c>
      <c r="I19" s="150">
        <f>K19-J19</f>
        <v>10381.36</v>
      </c>
      <c r="J19" s="151"/>
      <c r="K19" s="154">
        <v>10381.36</v>
      </c>
    </row>
    <row r="20" spans="1:11" ht="20.25" customHeight="1">
      <c r="A20" s="93"/>
      <c r="B20" s="219" t="s">
        <v>31</v>
      </c>
      <c r="C20" s="219"/>
      <c r="D20" s="219"/>
      <c r="E20" s="155" t="s">
        <v>9</v>
      </c>
      <c r="F20" s="82" t="s">
        <v>10</v>
      </c>
      <c r="G20" s="80">
        <v>0.51</v>
      </c>
      <c r="H20" s="80">
        <v>0.54</v>
      </c>
      <c r="I20" s="150">
        <f>ROUND($E$3*G20*6,2)+ROUND($E$3*H20*($L$7-6),2)</f>
        <v>16986.18</v>
      </c>
      <c r="J20" s="151"/>
      <c r="K20" s="152">
        <f>SUM(I20:J20)</f>
        <v>16986.18</v>
      </c>
    </row>
    <row r="21" spans="1:11" ht="65.25" customHeight="1">
      <c r="A21" s="22"/>
      <c r="B21" s="221" t="s">
        <v>27</v>
      </c>
      <c r="C21" s="221"/>
      <c r="D21" s="221"/>
      <c r="E21" s="153" t="s">
        <v>154</v>
      </c>
      <c r="F21" s="81" t="s">
        <v>25</v>
      </c>
      <c r="G21" s="80">
        <v>0.12</v>
      </c>
      <c r="H21" s="80">
        <v>0.13</v>
      </c>
      <c r="I21" s="150">
        <f>K21-J21</f>
        <v>3801.24</v>
      </c>
      <c r="J21" s="151"/>
      <c r="K21" s="154">
        <v>3801.24</v>
      </c>
    </row>
    <row r="22" spans="1:11" ht="20.25" customHeight="1">
      <c r="A22" s="93"/>
      <c r="B22" s="221" t="s">
        <v>11</v>
      </c>
      <c r="C22" s="221"/>
      <c r="D22" s="221"/>
      <c r="E22" s="153" t="s">
        <v>9</v>
      </c>
      <c r="F22" s="81" t="s">
        <v>12</v>
      </c>
      <c r="G22" s="80">
        <v>0</v>
      </c>
      <c r="H22" s="156">
        <v>0</v>
      </c>
      <c r="I22" s="150">
        <f>ROUND($E$3*G22*6,2)+ROUND($E$3*H22*($L$7-6),2)</f>
        <v>0</v>
      </c>
      <c r="J22" s="151"/>
      <c r="K22" s="152">
        <f>SUM(I22:J22)</f>
        <v>0</v>
      </c>
    </row>
    <row r="23" spans="1:11" ht="20.25" customHeight="1">
      <c r="A23" s="93"/>
      <c r="B23" s="221" t="s">
        <v>26</v>
      </c>
      <c r="C23" s="222"/>
      <c r="D23" s="222"/>
      <c r="E23" s="157" t="s">
        <v>13</v>
      </c>
      <c r="F23" s="78" t="s">
        <v>14</v>
      </c>
      <c r="G23" s="80">
        <v>0.05</v>
      </c>
      <c r="H23" s="80">
        <v>0.05</v>
      </c>
      <c r="I23" s="150">
        <f>K23-J23</f>
        <v>3375.72</v>
      </c>
      <c r="J23" s="151"/>
      <c r="K23" s="154">
        <v>3375.72</v>
      </c>
    </row>
    <row r="24" spans="1:11" ht="54" customHeight="1">
      <c r="A24" s="22"/>
      <c r="B24" s="221" t="s">
        <v>155</v>
      </c>
      <c r="C24" s="221"/>
      <c r="D24" s="221"/>
      <c r="E24" s="94" t="s">
        <v>234</v>
      </c>
      <c r="F24" s="44" t="s">
        <v>235</v>
      </c>
      <c r="G24" s="80">
        <v>2.15</v>
      </c>
      <c r="H24" s="80">
        <v>2.28</v>
      </c>
      <c r="I24" s="150">
        <f aca="true" t="shared" si="0" ref="I24:I29">ROUND($E$3*G24*6,2)+ROUND($E$3*H24*($L$7-6),2)</f>
        <v>71665.53</v>
      </c>
      <c r="J24" s="151"/>
      <c r="K24" s="152">
        <f>SUM(I24:J24)</f>
        <v>71665.53</v>
      </c>
    </row>
    <row r="25" spans="1:11" ht="26.25" customHeight="1">
      <c r="A25" s="22"/>
      <c r="B25" s="220" t="s">
        <v>15</v>
      </c>
      <c r="C25" s="220"/>
      <c r="D25" s="220"/>
      <c r="E25" s="149" t="s">
        <v>36</v>
      </c>
      <c r="F25" s="44" t="s">
        <v>235</v>
      </c>
      <c r="G25" s="80">
        <v>0.44</v>
      </c>
      <c r="H25" s="80">
        <v>0.47</v>
      </c>
      <c r="I25" s="150">
        <f>K25-J25</f>
        <v>10536.06</v>
      </c>
      <c r="J25" s="151"/>
      <c r="K25" s="152">
        <v>10536.06</v>
      </c>
    </row>
    <row r="26" spans="1:11" ht="30" customHeight="1">
      <c r="A26" s="22"/>
      <c r="B26" s="208" t="s">
        <v>37</v>
      </c>
      <c r="C26" s="227"/>
      <c r="D26" s="228"/>
      <c r="E26" s="149" t="s">
        <v>36</v>
      </c>
      <c r="F26" s="44" t="s">
        <v>235</v>
      </c>
      <c r="G26" s="98">
        <f>3.46-G27-G28</f>
        <v>3.17</v>
      </c>
      <c r="H26" s="80">
        <f>3.67-H27-H28</f>
        <v>3.36</v>
      </c>
      <c r="I26" s="150">
        <f t="shared" si="0"/>
        <v>105637.9</v>
      </c>
      <c r="J26" s="158"/>
      <c r="K26" s="152">
        <f>SUM(I26:J26)</f>
        <v>105637.9</v>
      </c>
    </row>
    <row r="27" spans="1:11" ht="26.25" customHeight="1">
      <c r="A27" s="93"/>
      <c r="B27" s="221" t="s">
        <v>157</v>
      </c>
      <c r="C27" s="221"/>
      <c r="D27" s="221"/>
      <c r="E27" s="153" t="s">
        <v>9</v>
      </c>
      <c r="F27" s="44" t="s">
        <v>235</v>
      </c>
      <c r="G27" s="98">
        <v>0.29</v>
      </c>
      <c r="H27" s="80">
        <v>0.31</v>
      </c>
      <c r="I27" s="150">
        <f t="shared" si="0"/>
        <v>9706.39</v>
      </c>
      <c r="J27" s="158"/>
      <c r="K27" s="152">
        <f>SUM(I27:J27)</f>
        <v>9706.39</v>
      </c>
    </row>
    <row r="28" spans="1:11" ht="17.25" customHeight="1">
      <c r="A28" s="22"/>
      <c r="B28" s="221" t="s">
        <v>158</v>
      </c>
      <c r="C28" s="221"/>
      <c r="D28" s="221"/>
      <c r="E28" s="153" t="s">
        <v>9</v>
      </c>
      <c r="F28" s="44" t="s">
        <v>235</v>
      </c>
      <c r="G28" s="98">
        <v>0</v>
      </c>
      <c r="H28" s="156">
        <v>0</v>
      </c>
      <c r="I28" s="150">
        <f t="shared" si="0"/>
        <v>0</v>
      </c>
      <c r="J28" s="158"/>
      <c r="K28" s="152">
        <f>SUM(I28:J28)</f>
        <v>0</v>
      </c>
    </row>
    <row r="29" spans="1:11" ht="30.75" customHeight="1">
      <c r="A29" s="22"/>
      <c r="B29" s="222" t="s">
        <v>21</v>
      </c>
      <c r="C29" s="222"/>
      <c r="D29" s="222"/>
      <c r="E29" s="95" t="s">
        <v>36</v>
      </c>
      <c r="F29" s="44" t="s">
        <v>235</v>
      </c>
      <c r="G29" s="78">
        <v>1.06</v>
      </c>
      <c r="H29" s="80">
        <v>1.12</v>
      </c>
      <c r="I29" s="150">
        <f t="shared" si="0"/>
        <v>35266.56</v>
      </c>
      <c r="J29" s="151"/>
      <c r="K29" s="152">
        <f>SUM(I29:J29)</f>
        <v>35266.56</v>
      </c>
    </row>
    <row r="30" spans="1:11" ht="15.75">
      <c r="A30" s="22"/>
      <c r="B30" s="229"/>
      <c r="C30" s="224"/>
      <c r="D30" s="225"/>
      <c r="E30" s="153"/>
      <c r="F30" s="44"/>
      <c r="G30" s="78"/>
      <c r="H30" s="78"/>
      <c r="I30" s="159"/>
      <c r="J30" s="145"/>
      <c r="K30" s="160"/>
    </row>
    <row r="31" spans="1:11" ht="15.75">
      <c r="A31" s="22"/>
      <c r="B31" s="253" t="s">
        <v>30</v>
      </c>
      <c r="C31" s="253"/>
      <c r="D31" s="253"/>
      <c r="E31" s="22"/>
      <c r="F31" s="44"/>
      <c r="G31" s="23">
        <f>SUM(G17:G29)</f>
        <v>9.520000000000001</v>
      </c>
      <c r="H31" s="23">
        <f>SUM(H17:H29)</f>
        <v>10.09</v>
      </c>
      <c r="I31" s="161">
        <f>SUM(I17:I30)</f>
        <v>312006.35000000003</v>
      </c>
      <c r="J31" s="146"/>
      <c r="K31" s="161">
        <f>SUM(K17:K30)</f>
        <v>312006.35000000003</v>
      </c>
    </row>
    <row r="32" spans="1:11" ht="15.75" hidden="1">
      <c r="A32" s="22"/>
      <c r="B32" s="226" t="s">
        <v>159</v>
      </c>
      <c r="C32" s="227"/>
      <c r="D32" s="228"/>
      <c r="E32" s="153" t="s">
        <v>9</v>
      </c>
      <c r="F32" s="44"/>
      <c r="G32" s="78"/>
      <c r="H32" s="78"/>
      <c r="I32" s="159"/>
      <c r="J32" s="145"/>
      <c r="K32" s="160"/>
    </row>
    <row r="33" spans="1:11" ht="21.75" customHeight="1" hidden="1">
      <c r="A33" s="22"/>
      <c r="B33" s="226" t="s">
        <v>160</v>
      </c>
      <c r="C33" s="227"/>
      <c r="D33" s="228"/>
      <c r="E33" s="149" t="s">
        <v>36</v>
      </c>
      <c r="F33" s="44"/>
      <c r="G33" s="78"/>
      <c r="H33" s="78"/>
      <c r="I33" s="159"/>
      <c r="J33" s="145"/>
      <c r="K33" s="160"/>
    </row>
    <row r="34" spans="1:11" ht="27.75" customHeight="1" hidden="1">
      <c r="A34" s="22"/>
      <c r="B34" s="229"/>
      <c r="C34" s="224"/>
      <c r="D34" s="225"/>
      <c r="E34" s="153"/>
      <c r="F34" s="44"/>
      <c r="G34" s="78"/>
      <c r="H34" s="78"/>
      <c r="I34" s="159"/>
      <c r="J34" s="145"/>
      <c r="K34" s="160"/>
    </row>
    <row r="35" spans="1:11" ht="26.25" customHeight="1">
      <c r="A35" s="22" t="s">
        <v>138</v>
      </c>
      <c r="B35" s="230" t="s">
        <v>161</v>
      </c>
      <c r="C35" s="231"/>
      <c r="D35" s="231"/>
      <c r="E35" s="232"/>
      <c r="F35" s="44" t="s">
        <v>235</v>
      </c>
      <c r="G35" s="23">
        <f>I35/E3/6</f>
        <v>7.1994619627973</v>
      </c>
      <c r="H35" s="23">
        <f>I35/E3/6</f>
        <v>7.1994619627973</v>
      </c>
      <c r="I35" s="162">
        <v>116468</v>
      </c>
      <c r="J35" s="163"/>
      <c r="K35" s="164">
        <f>SUM(I35:J35)</f>
        <v>116468</v>
      </c>
    </row>
    <row r="36" spans="1:11" ht="15" customHeight="1">
      <c r="A36" s="25"/>
      <c r="B36" s="234" t="s">
        <v>76</v>
      </c>
      <c r="C36" s="234"/>
      <c r="D36" s="234"/>
      <c r="E36" s="234"/>
      <c r="F36" s="234"/>
      <c r="G36" s="23">
        <f>SUM(G31:G35)</f>
        <v>16.7194619627973</v>
      </c>
      <c r="H36" s="23">
        <f>SUM(H31:H35)</f>
        <v>17.2894619627973</v>
      </c>
      <c r="I36" s="165">
        <f>SUM(I31:I35)</f>
        <v>428474.35000000003</v>
      </c>
      <c r="J36" s="166"/>
      <c r="K36" s="166">
        <f>SUM(K31:K35)</f>
        <v>428474.35000000003</v>
      </c>
    </row>
    <row r="37" spans="1:11" ht="14.25" customHeight="1">
      <c r="A37" s="22" t="s">
        <v>139</v>
      </c>
      <c r="B37" s="234" t="s">
        <v>162</v>
      </c>
      <c r="C37" s="234"/>
      <c r="D37" s="234"/>
      <c r="E37" s="234"/>
      <c r="F37" s="234"/>
      <c r="G37" s="23"/>
      <c r="H37" s="23"/>
      <c r="I37" s="167">
        <v>0</v>
      </c>
      <c r="J37" s="167"/>
      <c r="K37" s="164">
        <f>SUM(I37:J37)</f>
        <v>0</v>
      </c>
    </row>
    <row r="38" spans="1:11" ht="18.75">
      <c r="A38" s="25"/>
      <c r="B38" s="234" t="s">
        <v>163</v>
      </c>
      <c r="C38" s="234"/>
      <c r="D38" s="234"/>
      <c r="E38" s="234"/>
      <c r="F38" s="234"/>
      <c r="G38" s="23">
        <f>SUM(G36:G37)</f>
        <v>16.7194619627973</v>
      </c>
      <c r="H38" s="23">
        <f>SUM(H36:H37)</f>
        <v>17.2894619627973</v>
      </c>
      <c r="I38" s="165">
        <f>SUM(I36:I37)</f>
        <v>428474.35000000003</v>
      </c>
      <c r="J38" s="166"/>
      <c r="K38" s="166">
        <f>SUM(K36:K37)</f>
        <v>428474.35000000003</v>
      </c>
    </row>
    <row r="39" spans="1:11" ht="24.75" customHeight="1">
      <c r="A39" s="22">
        <v>3</v>
      </c>
      <c r="B39" s="254" t="s">
        <v>236</v>
      </c>
      <c r="C39" s="254"/>
      <c r="D39" s="254"/>
      <c r="E39" s="254"/>
      <c r="F39" s="168"/>
      <c r="G39" s="168"/>
      <c r="H39" s="169"/>
      <c r="I39" s="150">
        <f>I14-I38</f>
        <v>-68475.06000000006</v>
      </c>
      <c r="J39" s="150"/>
      <c r="K39" s="146">
        <f>K14-K38</f>
        <v>96900.3299999999</v>
      </c>
    </row>
    <row r="40" spans="2:11" ht="27" customHeight="1">
      <c r="B40" s="110"/>
      <c r="C40" s="170"/>
      <c r="D40" s="170"/>
      <c r="E40" s="170"/>
      <c r="F40" s="170"/>
      <c r="G40" s="170"/>
      <c r="H40" s="170"/>
      <c r="I40" s="171"/>
      <c r="J40" s="172"/>
      <c r="K40" s="173"/>
    </row>
    <row r="41" spans="3:7" ht="15.75">
      <c r="C41" s="33"/>
      <c r="G41" s="33"/>
    </row>
    <row r="42" spans="1:7" ht="15.75" customHeight="1">
      <c r="A42" s="71" t="s">
        <v>237</v>
      </c>
      <c r="D42" s="71"/>
      <c r="E42" s="71"/>
      <c r="F42" s="33"/>
      <c r="G42" s="33"/>
    </row>
    <row r="43" spans="2:4" ht="15.75">
      <c r="B43" s="33"/>
      <c r="C43" s="33"/>
      <c r="D43" s="33"/>
    </row>
    <row r="44" spans="2:4" ht="23.25" customHeight="1">
      <c r="B44" s="45" t="s">
        <v>79</v>
      </c>
      <c r="C44" s="45"/>
      <c r="D44" s="45"/>
    </row>
    <row r="45" spans="2:9" ht="23.25" customHeight="1">
      <c r="B45" s="211" t="s">
        <v>216</v>
      </c>
      <c r="C45" s="211"/>
      <c r="D45" s="211"/>
      <c r="E45" s="211"/>
      <c r="F45" s="211"/>
      <c r="G45" s="211"/>
      <c r="H45" s="211"/>
      <c r="I45" s="33"/>
    </row>
    <row r="46" spans="2:4" ht="15.75" customHeight="1">
      <c r="B46" s="184" t="s">
        <v>82</v>
      </c>
      <c r="C46" s="184"/>
      <c r="D46" s="184"/>
    </row>
  </sheetData>
  <mergeCells count="37">
    <mergeCell ref="B46:D46"/>
    <mergeCell ref="I7:K7"/>
    <mergeCell ref="B35:E35"/>
    <mergeCell ref="B36:F36"/>
    <mergeCell ref="B39:E39"/>
    <mergeCell ref="B37:F37"/>
    <mergeCell ref="B38:F38"/>
    <mergeCell ref="B33:D33"/>
    <mergeCell ref="B34:D34"/>
    <mergeCell ref="B30:D30"/>
    <mergeCell ref="B31:D31"/>
    <mergeCell ref="B32:D32"/>
    <mergeCell ref="B45:H45"/>
    <mergeCell ref="B26:D26"/>
    <mergeCell ref="B27:D27"/>
    <mergeCell ref="B28:D28"/>
    <mergeCell ref="B29:D29"/>
    <mergeCell ref="B22:D22"/>
    <mergeCell ref="B23:D23"/>
    <mergeCell ref="B24:D24"/>
    <mergeCell ref="B25:D25"/>
    <mergeCell ref="B18:D18"/>
    <mergeCell ref="B19:D19"/>
    <mergeCell ref="B20:D20"/>
    <mergeCell ref="B21:D21"/>
    <mergeCell ref="B13:F13"/>
    <mergeCell ref="B14:F14"/>
    <mergeCell ref="B15:F15"/>
    <mergeCell ref="B17:D17"/>
    <mergeCell ref="B9:F9"/>
    <mergeCell ref="B10:F10"/>
    <mergeCell ref="B11:F11"/>
    <mergeCell ref="B12:F12"/>
    <mergeCell ref="B7:D7"/>
    <mergeCell ref="A1:K1"/>
    <mergeCell ref="A2:K2"/>
    <mergeCell ref="B8:F8"/>
  </mergeCells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A13" sqref="A13:V22"/>
    </sheetView>
  </sheetViews>
  <sheetFormatPr defaultColWidth="9.00390625" defaultRowHeight="15.75"/>
  <cols>
    <col min="1" max="1" width="11.625" style="0" customWidth="1"/>
    <col min="2" max="2" width="6.125" style="0" customWidth="1"/>
    <col min="3" max="3" width="11.875" style="0" customWidth="1"/>
    <col min="4" max="4" width="10.50390625" style="0" customWidth="1"/>
    <col min="5" max="5" width="11.875" style="0" customWidth="1"/>
    <col min="6" max="6" width="12.125" style="0" customWidth="1"/>
    <col min="7" max="7" width="10.375" style="0" customWidth="1"/>
    <col min="8" max="8" width="11.75390625" style="0" customWidth="1"/>
    <col min="9" max="9" width="9.75390625" style="0" bestFit="1" customWidth="1"/>
    <col min="10" max="10" width="9.875" style="0" bestFit="1" customWidth="1"/>
    <col min="11" max="11" width="9.125" style="0" customWidth="1"/>
    <col min="12" max="12" width="11.875" style="0" customWidth="1"/>
    <col min="13" max="13" width="14.00390625" style="0" customWidth="1"/>
    <col min="14" max="14" width="10.00390625" style="0" customWidth="1"/>
    <col min="15" max="15" width="11.125" style="0" customWidth="1"/>
    <col min="16" max="16" width="10.875" style="0" customWidth="1"/>
    <col min="17" max="17" width="11.00390625" style="0" bestFit="1" customWidth="1"/>
    <col min="18" max="18" width="13.25390625" style="0" customWidth="1"/>
    <col min="19" max="19" width="11.875" style="0" customWidth="1"/>
  </cols>
  <sheetData>
    <row r="1" spans="1:19" ht="109.5" customHeight="1">
      <c r="A1" s="259" t="s">
        <v>217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</row>
    <row r="2" spans="1:19" ht="15.75" customHeight="1">
      <c r="A2" s="239" t="s">
        <v>166</v>
      </c>
      <c r="B2" s="253" t="s">
        <v>167</v>
      </c>
      <c r="C2" s="253" t="s">
        <v>168</v>
      </c>
      <c r="D2" s="253"/>
      <c r="E2" s="253"/>
      <c r="F2" s="253"/>
      <c r="G2" s="253"/>
      <c r="H2" s="253"/>
      <c r="I2" s="253"/>
      <c r="J2" s="260" t="s">
        <v>169</v>
      </c>
      <c r="K2" s="260"/>
      <c r="L2" s="260"/>
      <c r="M2" s="261" t="s">
        <v>170</v>
      </c>
      <c r="N2" s="253" t="s">
        <v>171</v>
      </c>
      <c r="O2" s="253"/>
      <c r="P2" s="253"/>
      <c r="Q2" s="253"/>
      <c r="R2" s="253"/>
      <c r="S2" s="183" t="s">
        <v>210</v>
      </c>
    </row>
    <row r="3" spans="1:19" ht="15.75" customHeight="1">
      <c r="A3" s="253"/>
      <c r="B3" s="253"/>
      <c r="C3" s="213" t="s">
        <v>172</v>
      </c>
      <c r="D3" s="214"/>
      <c r="E3" s="215"/>
      <c r="F3" s="213" t="s">
        <v>173</v>
      </c>
      <c r="G3" s="214"/>
      <c r="H3" s="215"/>
      <c r="I3" s="239" t="s">
        <v>174</v>
      </c>
      <c r="J3" s="257" t="s">
        <v>175</v>
      </c>
      <c r="K3" s="255" t="s">
        <v>176</v>
      </c>
      <c r="L3" s="257" t="s">
        <v>211</v>
      </c>
      <c r="M3" s="262"/>
      <c r="N3" s="239" t="s">
        <v>177</v>
      </c>
      <c r="O3" s="253" t="s">
        <v>178</v>
      </c>
      <c r="P3" s="253" t="s">
        <v>179</v>
      </c>
      <c r="Q3" s="253" t="s">
        <v>180</v>
      </c>
      <c r="R3" s="253" t="s">
        <v>181</v>
      </c>
      <c r="S3" s="183"/>
    </row>
    <row r="4" spans="1:19" ht="47.25" customHeight="1">
      <c r="A4" s="253"/>
      <c r="B4" s="253"/>
      <c r="C4" s="11" t="s">
        <v>182</v>
      </c>
      <c r="D4" s="22" t="s">
        <v>180</v>
      </c>
      <c r="E4" s="22" t="s">
        <v>181</v>
      </c>
      <c r="F4" s="11" t="s">
        <v>182</v>
      </c>
      <c r="G4" s="22" t="s">
        <v>180</v>
      </c>
      <c r="H4" s="22" t="s">
        <v>181</v>
      </c>
      <c r="I4" s="239"/>
      <c r="J4" s="258"/>
      <c r="K4" s="256"/>
      <c r="L4" s="258"/>
      <c r="M4" s="263"/>
      <c r="N4" s="253"/>
      <c r="O4" s="253"/>
      <c r="P4" s="253"/>
      <c r="Q4" s="253"/>
      <c r="R4" s="253"/>
      <c r="S4" s="183"/>
    </row>
    <row r="5" spans="1:19" ht="31.5">
      <c r="A5" s="22">
        <v>1</v>
      </c>
      <c r="B5" s="22">
        <v>2</v>
      </c>
      <c r="C5" s="11">
        <v>3</v>
      </c>
      <c r="D5" s="22">
        <v>4</v>
      </c>
      <c r="E5" s="22" t="s">
        <v>183</v>
      </c>
      <c r="F5" s="11">
        <v>6</v>
      </c>
      <c r="G5" s="22">
        <v>7</v>
      </c>
      <c r="H5" s="22" t="s">
        <v>184</v>
      </c>
      <c r="I5" s="11" t="s">
        <v>185</v>
      </c>
      <c r="J5" s="22">
        <v>10</v>
      </c>
      <c r="K5" s="22">
        <v>11</v>
      </c>
      <c r="L5" s="11">
        <v>12</v>
      </c>
      <c r="M5" s="11" t="s">
        <v>186</v>
      </c>
      <c r="N5" s="22">
        <v>14</v>
      </c>
      <c r="O5" s="11">
        <v>15</v>
      </c>
      <c r="P5" s="22">
        <v>16</v>
      </c>
      <c r="Q5" s="22">
        <v>17</v>
      </c>
      <c r="R5" s="11" t="s">
        <v>187</v>
      </c>
      <c r="S5" s="99" t="s">
        <v>188</v>
      </c>
    </row>
    <row r="6" spans="1:19" ht="15.75">
      <c r="A6" s="92"/>
      <c r="B6" s="53" t="s">
        <v>189</v>
      </c>
      <c r="C6" s="116">
        <f>'2008'!D9</f>
        <v>187473.74</v>
      </c>
      <c r="D6" s="116">
        <f>'2008'!D13</f>
        <v>12278.91</v>
      </c>
      <c r="E6" s="116">
        <f>SUM(C6:D6)</f>
        <v>199752.65</v>
      </c>
      <c r="F6" s="116">
        <f>'2008'!D10</f>
        <v>173231.94</v>
      </c>
      <c r="G6" s="116">
        <f>'2008'!D14</f>
        <v>11515.37</v>
      </c>
      <c r="H6" s="116">
        <f>SUM(F6:G6)</f>
        <v>184747.31</v>
      </c>
      <c r="I6" s="133">
        <f>E6-H6</f>
        <v>15005.339999999997</v>
      </c>
      <c r="J6" s="116">
        <v>0</v>
      </c>
      <c r="K6" s="116">
        <v>0</v>
      </c>
      <c r="L6" s="116">
        <v>517835</v>
      </c>
      <c r="M6" s="116">
        <f>H6+J6+K6+L6</f>
        <v>702582.31</v>
      </c>
      <c r="N6" s="116">
        <f>'2008'!D23</f>
        <v>20622.111399999998</v>
      </c>
      <c r="O6" s="116">
        <f>'2008'!D24</f>
        <v>131231.618</v>
      </c>
      <c r="P6" s="116">
        <f>'2008'!D25</f>
        <v>0</v>
      </c>
      <c r="Q6" s="174">
        <v>517835</v>
      </c>
      <c r="R6" s="92">
        <f>SUM(N6:Q6)</f>
        <v>669688.7294</v>
      </c>
      <c r="S6" s="92">
        <f>M6-R6</f>
        <v>32893.5806000001</v>
      </c>
    </row>
    <row r="7" spans="1:19" ht="15.75">
      <c r="A7" s="92">
        <f>S6</f>
        <v>32893.5806000001</v>
      </c>
      <c r="B7" s="53" t="s">
        <v>190</v>
      </c>
      <c r="C7" s="116">
        <f>'отчет 2009'!H10</f>
        <v>264796.02</v>
      </c>
      <c r="D7" s="116">
        <v>17335.44</v>
      </c>
      <c r="E7" s="116">
        <f>SUM(C7:D7)</f>
        <v>282131.46</v>
      </c>
      <c r="F7" s="116">
        <f>'отчет 2009'!H13</f>
        <v>254997.38</v>
      </c>
      <c r="G7" s="116">
        <v>16791.18</v>
      </c>
      <c r="H7" s="116">
        <f>SUM(F7:G7)</f>
        <v>271788.56</v>
      </c>
      <c r="I7" s="133">
        <f>E7-H7</f>
        <v>10342.900000000023</v>
      </c>
      <c r="J7" s="116">
        <v>0</v>
      </c>
      <c r="K7" s="116">
        <v>0</v>
      </c>
      <c r="L7" s="116">
        <v>0</v>
      </c>
      <c r="M7" s="116">
        <f>H7+J7+K7+L7</f>
        <v>271788.56</v>
      </c>
      <c r="N7" s="116">
        <f>'отчет 2009'!H31</f>
        <v>26853.02</v>
      </c>
      <c r="O7" s="116">
        <f>'отчет 2009'!H32-'отчет 2009'!H31</f>
        <v>213908.75999999998</v>
      </c>
      <c r="P7" s="116">
        <f>'отчет 2009'!H33</f>
        <v>13000</v>
      </c>
      <c r="Q7" s="174">
        <v>0</v>
      </c>
      <c r="R7" s="92">
        <f>SUM(N7:Q7)</f>
        <v>253761.77999999997</v>
      </c>
      <c r="S7" s="92">
        <f>M7-R7</f>
        <v>18026.780000000028</v>
      </c>
    </row>
    <row r="8" spans="1:22" ht="15.75">
      <c r="A8" s="92">
        <f>A7+S7</f>
        <v>50920.36060000013</v>
      </c>
      <c r="B8" s="53" t="s">
        <v>191</v>
      </c>
      <c r="C8" s="116">
        <v>278689.98</v>
      </c>
      <c r="D8" s="116">
        <v>17494.44</v>
      </c>
      <c r="E8" s="116">
        <f>SUM(C8:D8)</f>
        <v>296184.42</v>
      </c>
      <c r="F8" s="116">
        <f>'отчет 2010'!H10</f>
        <v>282003.97</v>
      </c>
      <c r="G8" s="116">
        <f>'отчет 2010'!H11</f>
        <v>18358.43</v>
      </c>
      <c r="H8" s="116">
        <f>SUM(F8:G8)</f>
        <v>300362.39999999997</v>
      </c>
      <c r="I8" s="133">
        <f>E8-H8</f>
        <v>-4177.979999999981</v>
      </c>
      <c r="J8" s="116">
        <f>'отчет 2010'!I12</f>
        <v>89314.74</v>
      </c>
      <c r="K8" s="116">
        <v>0</v>
      </c>
      <c r="L8" s="116">
        <v>0</v>
      </c>
      <c r="M8" s="116">
        <f>H8+J8+K8+L8</f>
        <v>389677.13999999996</v>
      </c>
      <c r="N8" s="116">
        <f>'отчет 2010'!J29</f>
        <v>37005.094</v>
      </c>
      <c r="O8" s="116">
        <f>'отчет 2010'!J34-'отчет 2010'!J29</f>
        <v>285161.857</v>
      </c>
      <c r="P8" s="116">
        <f>'отчет 2010'!H35</f>
        <v>10030</v>
      </c>
      <c r="Q8" s="174">
        <v>0</v>
      </c>
      <c r="R8" s="92">
        <f>SUM(N8:Q8)</f>
        <v>332196.951</v>
      </c>
      <c r="S8" s="92">
        <f>M8-R8</f>
        <v>57480.188999999955</v>
      </c>
      <c r="U8" s="100"/>
      <c r="V8" s="100"/>
    </row>
    <row r="9" spans="1:19" ht="15.75">
      <c r="A9" s="92">
        <f>A8+S8</f>
        <v>108400.54960000009</v>
      </c>
      <c r="B9" s="53" t="s">
        <v>192</v>
      </c>
      <c r="C9" s="92">
        <v>317816</v>
      </c>
      <c r="D9" s="92">
        <v>20142.08</v>
      </c>
      <c r="E9" s="116">
        <f>SUM(C9:D9)</f>
        <v>337958.08</v>
      </c>
      <c r="F9" s="92">
        <f>'отчет 2011'!H10</f>
        <v>300789.08</v>
      </c>
      <c r="G9" s="92">
        <f>'отчет 2011'!H11</f>
        <v>19216.67</v>
      </c>
      <c r="H9" s="116">
        <f>SUM(F9:G9)</f>
        <v>320005.75</v>
      </c>
      <c r="I9" s="133">
        <f>E9-H9</f>
        <v>17952.330000000016</v>
      </c>
      <c r="J9" s="92">
        <f>'отчет 2011'!I12</f>
        <v>160534.24</v>
      </c>
      <c r="K9" s="92">
        <f>'отчет 2011'!I13</f>
        <v>0</v>
      </c>
      <c r="L9" s="92">
        <f>'отчет 2011'!H13</f>
        <v>0</v>
      </c>
      <c r="M9" s="116">
        <f>H9+J9+K9+L9</f>
        <v>480539.99</v>
      </c>
      <c r="N9" s="92">
        <f>'отчет 2011'!J29</f>
        <v>48399.114</v>
      </c>
      <c r="O9" s="92">
        <f>'отчет 2011'!J32-'отчет 2011'!J29</f>
        <v>347446.842</v>
      </c>
      <c r="P9" s="92">
        <f>'отчет 2011'!H36</f>
        <v>287666</v>
      </c>
      <c r="Q9" s="174">
        <f>'отчет 2011'!H38</f>
        <v>0</v>
      </c>
      <c r="R9" s="92">
        <f>SUM(N9:Q9)</f>
        <v>683511.956</v>
      </c>
      <c r="S9" s="92">
        <f>M9-R9</f>
        <v>-202971.96600000001</v>
      </c>
    </row>
    <row r="10" spans="1:19" ht="15.75">
      <c r="A10" s="92">
        <f>A9+S9</f>
        <v>-94571.41639999993</v>
      </c>
      <c r="B10" s="53" t="s">
        <v>193</v>
      </c>
      <c r="C10" s="92">
        <v>325847.8</v>
      </c>
      <c r="D10" s="92">
        <v>20842.78</v>
      </c>
      <c r="E10" s="116">
        <f>SUM(C10:D10)</f>
        <v>346690.57999999996</v>
      </c>
      <c r="F10" s="92">
        <f>отчет12стар!I10</f>
        <v>338960.63</v>
      </c>
      <c r="G10" s="92">
        <f>отчет12стар!I11</f>
        <v>21038.66</v>
      </c>
      <c r="H10" s="116">
        <f>SUM(F10:G10)</f>
        <v>359999.29</v>
      </c>
      <c r="I10" s="133">
        <f>E10-H10</f>
        <v>-13308.710000000021</v>
      </c>
      <c r="J10" s="92">
        <f>отчет12стар!J12</f>
        <v>165375.39</v>
      </c>
      <c r="K10" s="92">
        <v>0</v>
      </c>
      <c r="L10" s="92">
        <v>0</v>
      </c>
      <c r="M10" s="116">
        <f>H10+J10+K10+L10</f>
        <v>525374.6799999999</v>
      </c>
      <c r="N10" s="92">
        <f>отчет12стар!K29</f>
        <v>35266.56</v>
      </c>
      <c r="O10" s="92">
        <f>отчет12стар!K31-отчет12стар!K29</f>
        <v>276739.79000000004</v>
      </c>
      <c r="P10" s="92">
        <f>отчет12стар!I35</f>
        <v>116468</v>
      </c>
      <c r="Q10" s="175">
        <f>отчет12стар!I37</f>
        <v>0</v>
      </c>
      <c r="R10" s="92">
        <f>SUM(N10:Q10)</f>
        <v>428474.35000000003</v>
      </c>
      <c r="S10" s="92">
        <f>M10-R10</f>
        <v>96900.3299999999</v>
      </c>
    </row>
    <row r="11" spans="1:19" ht="15.75">
      <c r="A11" s="34"/>
      <c r="B11" s="53" t="s">
        <v>194</v>
      </c>
      <c r="C11" s="30">
        <f aca="true" t="shared" si="0" ref="C11:S11">SUM(C6:C10)</f>
        <v>1374623.54</v>
      </c>
      <c r="D11" s="30">
        <f t="shared" si="0"/>
        <v>88093.65</v>
      </c>
      <c r="E11" s="30">
        <f t="shared" si="0"/>
        <v>1462717.19</v>
      </c>
      <c r="F11" s="30">
        <f t="shared" si="0"/>
        <v>1349983</v>
      </c>
      <c r="G11" s="30">
        <f t="shared" si="0"/>
        <v>86920.31</v>
      </c>
      <c r="H11" s="30">
        <f t="shared" si="0"/>
        <v>1436903.31</v>
      </c>
      <c r="I11" s="30">
        <f t="shared" si="0"/>
        <v>25813.880000000034</v>
      </c>
      <c r="J11" s="30">
        <f t="shared" si="0"/>
        <v>415224.37</v>
      </c>
      <c r="K11" s="30">
        <f t="shared" si="0"/>
        <v>0</v>
      </c>
      <c r="L11" s="30">
        <f t="shared" si="0"/>
        <v>517835</v>
      </c>
      <c r="M11" s="30">
        <f t="shared" si="0"/>
        <v>2369962.6799999997</v>
      </c>
      <c r="N11" s="30">
        <f t="shared" si="0"/>
        <v>168145.8994</v>
      </c>
      <c r="O11" s="30">
        <f t="shared" si="0"/>
        <v>1254488.867</v>
      </c>
      <c r="P11" s="30">
        <f t="shared" si="0"/>
        <v>427164</v>
      </c>
      <c r="Q11" s="30">
        <f t="shared" si="0"/>
        <v>517835</v>
      </c>
      <c r="R11" s="30">
        <f t="shared" si="0"/>
        <v>2367633.7663999996</v>
      </c>
      <c r="S11" s="30">
        <f t="shared" si="0"/>
        <v>2328.9135999999708</v>
      </c>
    </row>
    <row r="13" spans="1:8" ht="18.75" customHeight="1">
      <c r="A13" s="264" t="s">
        <v>238</v>
      </c>
      <c r="B13" s="264"/>
      <c r="C13" s="264"/>
      <c r="D13" s="264"/>
      <c r="E13" s="264" t="s">
        <v>239</v>
      </c>
      <c r="F13" s="264"/>
      <c r="G13" s="264"/>
      <c r="H13" s="264"/>
    </row>
    <row r="14" spans="1:8" ht="18.75">
      <c r="A14" s="176"/>
      <c r="B14" s="176"/>
      <c r="C14" s="176"/>
      <c r="D14" s="176"/>
      <c r="E14" s="176"/>
      <c r="F14" s="176"/>
      <c r="G14" s="176"/>
      <c r="H14" s="176"/>
    </row>
    <row r="15" spans="1:8" ht="18.75">
      <c r="A15" s="177"/>
      <c r="B15" s="178"/>
      <c r="C15" s="178"/>
      <c r="D15" s="177"/>
      <c r="E15" s="177"/>
      <c r="F15" s="177"/>
      <c r="G15" s="177"/>
      <c r="H15" s="177"/>
    </row>
    <row r="16" spans="1:8" ht="18.75">
      <c r="A16" s="176" t="s">
        <v>240</v>
      </c>
      <c r="B16" s="176"/>
      <c r="C16" s="176"/>
      <c r="D16" s="177"/>
      <c r="E16" s="177"/>
      <c r="F16" s="177"/>
      <c r="G16" s="177"/>
      <c r="H16" s="177"/>
    </row>
    <row r="17" spans="1:8" ht="18.75">
      <c r="A17" s="176" t="s">
        <v>241</v>
      </c>
      <c r="B17" s="176"/>
      <c r="C17" s="176"/>
      <c r="D17" s="176"/>
      <c r="E17" s="176"/>
      <c r="F17" s="177"/>
      <c r="G17" s="177"/>
      <c r="H17" s="177"/>
    </row>
    <row r="18" spans="1:8" ht="18.75" customHeight="1">
      <c r="A18" s="33" t="s">
        <v>242</v>
      </c>
      <c r="B18" s="33"/>
      <c r="C18" s="33"/>
      <c r="D18" s="33"/>
      <c r="E18" s="264" t="s">
        <v>243</v>
      </c>
      <c r="F18" s="264"/>
      <c r="G18" s="264"/>
      <c r="H18" s="177"/>
    </row>
    <row r="19" spans="1:8" ht="15.75">
      <c r="A19" s="177"/>
      <c r="B19" s="177"/>
      <c r="C19" s="177"/>
      <c r="D19" s="177"/>
      <c r="E19" s="177"/>
      <c r="F19" s="177"/>
      <c r="G19" s="177"/>
      <c r="H19" s="177"/>
    </row>
    <row r="20" spans="1:8" ht="15.75">
      <c r="A20" s="177"/>
      <c r="B20" s="177"/>
      <c r="C20" s="177"/>
      <c r="D20" s="177"/>
      <c r="E20" s="177"/>
      <c r="F20" s="177"/>
      <c r="G20" s="177"/>
      <c r="H20" s="177"/>
    </row>
    <row r="21" spans="1:8" ht="15.75">
      <c r="A21" s="177"/>
      <c r="B21" s="177"/>
      <c r="C21" s="177"/>
      <c r="D21" s="177"/>
      <c r="E21" s="177"/>
      <c r="F21" s="177"/>
      <c r="G21" s="177"/>
      <c r="H21" s="177"/>
    </row>
    <row r="22" spans="1:8" ht="15.75">
      <c r="A22" s="177" t="s">
        <v>244</v>
      </c>
      <c r="B22" s="177"/>
      <c r="C22" s="177"/>
      <c r="D22" s="177"/>
      <c r="E22" s="177"/>
      <c r="F22" s="177"/>
      <c r="G22" s="177"/>
      <c r="H22" s="177"/>
    </row>
  </sheetData>
  <mergeCells count="22">
    <mergeCell ref="A13:D13"/>
    <mergeCell ref="E13:H13"/>
    <mergeCell ref="E18:G18"/>
    <mergeCell ref="R3:R4"/>
    <mergeCell ref="N3:N4"/>
    <mergeCell ref="O3:O4"/>
    <mergeCell ref="P3:P4"/>
    <mergeCell ref="Q3:Q4"/>
    <mergeCell ref="I3:I4"/>
    <mergeCell ref="J3:J4"/>
    <mergeCell ref="A1:S1"/>
    <mergeCell ref="A2:A4"/>
    <mergeCell ref="B2:B4"/>
    <mergeCell ref="C2:I2"/>
    <mergeCell ref="J2:L2"/>
    <mergeCell ref="M2:M4"/>
    <mergeCell ref="N2:R2"/>
    <mergeCell ref="S2:S4"/>
    <mergeCell ref="C3:E3"/>
    <mergeCell ref="F3:H3"/>
    <mergeCell ref="K3:K4"/>
    <mergeCell ref="L3:L4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2013-03-15T08:15:46Z</cp:lastPrinted>
  <dcterms:created xsi:type="dcterms:W3CDTF">2009-08-26T03:25:10Z</dcterms:created>
  <dcterms:modified xsi:type="dcterms:W3CDTF">2013-03-28T09:30:59Z</dcterms:modified>
  <cp:category/>
  <cp:version/>
  <cp:contentType/>
  <cp:contentStatus/>
</cp:coreProperties>
</file>