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7" activeTab="7"/>
  </bookViews>
  <sheets>
    <sheet name="2008" sheetId="1" r:id="rId1"/>
    <sheet name="отчет 2009" sheetId="2" r:id="rId2"/>
    <sheet name="отчет 2010" sheetId="3" r:id="rId3"/>
    <sheet name="смета 2011" sheetId="4" state="hidden" r:id="rId4"/>
    <sheet name="отчет 2011" sheetId="5" state="hidden" r:id="rId5"/>
    <sheet name="смета 2012" sheetId="6" state="hidden" r:id="rId6"/>
    <sheet name="1" sheetId="7" state="hidden" r:id="rId7"/>
    <sheet name="отчет12стар" sheetId="8" r:id="rId8"/>
    <sheet name="накопительная" sheetId="9" state="hidden" r:id="rId9"/>
  </sheets>
  <definedNames/>
  <calcPr fullCalcOnLoad="1"/>
</workbook>
</file>

<file path=xl/sharedStrings.xml><?xml version="1.0" encoding="utf-8"?>
<sst xmlns="http://schemas.openxmlformats.org/spreadsheetml/2006/main" count="720" uniqueCount="267">
  <si>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</si>
  <si>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</si>
  <si>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</si>
  <si>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</si>
  <si>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</si>
  <si>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</si>
  <si>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</si>
  <si>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</si>
  <si>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</si>
  <si>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</si>
  <si>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</si>
  <si>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</si>
  <si>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</si>
  <si>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</si>
  <si>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</si>
  <si>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</si>
  <si>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</si>
  <si>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</si>
  <si>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</si>
  <si>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</si>
  <si>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</si>
  <si>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</si>
  <si>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</si>
  <si>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</si>
  <si>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</si>
  <si>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</si>
  <si>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</si>
  <si>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</si>
  <si>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</si>
  <si>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</si>
  <si>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</si>
  <si>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</si>
  <si>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</si>
  <si>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</si>
  <si>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</si>
  <si>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</si>
  <si>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</si>
  <si>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</si>
  <si>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</si>
  <si>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</si>
  <si>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</si>
  <si>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</si>
  <si>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</si>
  <si>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</si>
  <si>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</si>
  <si>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</si>
  <si>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</si>
  <si>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</si>
  <si>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</si>
  <si>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</si>
  <si>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</si>
  <si>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</si>
  <si>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</si>
  <si>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</si>
  <si>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</si>
  <si>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</si>
  <si>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</si>
  <si>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</si>
  <si>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</si>
  <si>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</si>
  <si>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</si>
  <si>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</si>
  <si>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</si>
  <si>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</si>
  <si>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</si>
  <si>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</si>
  <si>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</si>
  <si>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</si>
  <si>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</si>
  <si>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</si>
  <si>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</si>
  <si>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</si>
  <si>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</si>
  <si>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</si>
  <si>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</si>
  <si>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</si>
  <si>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</si>
  <si>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</si>
  <si>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</si>
  <si>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</si>
  <si>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</si>
  <si>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пр. Ленина, 15</t>
  </si>
  <si>
    <t>ООО "ОЖКС № 1"</t>
  </si>
  <si>
    <t>ООО  "ОЖКС № 1"</t>
  </si>
  <si>
    <t>Противопожарные мероприятия:  содержание и обслуживание вентканалов и шахт</t>
  </si>
  <si>
    <t>Старший по дому                                                                                                              А.М. Пронин</t>
  </si>
  <si>
    <t xml:space="preserve">      Представитель собственников  - старший по дому  А.М. Пронин, с одной стороны и Общество с Ограниченной Ответственностью "Октябрьский Жилкомсервис № 1", в лице директора Ломова И.А., действующее на основании Устава,  с другой стороны, составили настоящий отчет о выполненных работах  в  2009г.      </t>
  </si>
  <si>
    <t>Претензий по управлению нет (да)</t>
  </si>
  <si>
    <t>ОТЧЕТ
за  2009 г. о выполненнии условий  договора управления МКД 
№ 361/1 от 28.03.08г, заключенного между ООО "ОЖКС № 1" 
и собственниками многоквартирного дома
по адресу:  пр. Ленина, 15</t>
  </si>
  <si>
    <t>ОТЧЕТ
о выполненных работах в 2008 году по договору управления МКД 
№  161 от 28.03.2008 г., заключенного между ООО "ОЖКС №1" и собственниками многоквартирного дома
по адресу:  пр. Ленина, 15</t>
  </si>
  <si>
    <t xml:space="preserve">        Представитель собственников  - старший по дому Семибратов Г.А., с одной стороны 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</si>
  <si>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</si>
  <si>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</si>
  <si>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</si>
  <si>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</si>
  <si>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</si>
  <si>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</si>
  <si>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</si>
  <si>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</si>
  <si>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</si>
  <si>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</si>
  <si>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</si>
  <si>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</si>
  <si>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</si>
  <si>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</si>
  <si>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</si>
  <si>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</si>
  <si>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</si>
  <si>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</si>
  <si>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</si>
  <si>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</si>
  <si>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</si>
  <si>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</si>
  <si>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</si>
  <si>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</si>
  <si>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</si>
  <si>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</si>
  <si>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</si>
  <si>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</si>
  <si>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</si>
  <si>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</si>
  <si>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</si>
  <si>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</si>
  <si>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</si>
  <si>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</si>
  <si>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</si>
  <si>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</si>
  <si>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</si>
  <si>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</si>
  <si>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</si>
  <si>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</si>
  <si>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</si>
  <si>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1"                                                                               И.А. Ломов                                  </t>
  </si>
  <si>
    <t>Старший по дому                                                                                           Г.А. Семибратов</t>
  </si>
  <si>
    <t>Претензий по управлению нет.</t>
  </si>
  <si>
    <t>Тариф 
на 
1 кв.м.
руб.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</si>
  <si>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</si>
  <si>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</si>
  <si>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</si>
  <si>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</si>
  <si>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</si>
  <si>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 xml:space="preserve">Капитальный ремонт </t>
  </si>
  <si>
    <t>Директор</t>
  </si>
  <si>
    <t>И.А. Ломов</t>
  </si>
  <si>
    <t>___________________</t>
  </si>
  <si>
    <t>2.1.</t>
  </si>
  <si>
    <t xml:space="preserve"> 2.1.1</t>
  </si>
  <si>
    <t>2.2.</t>
  </si>
  <si>
    <t>2.3.</t>
  </si>
  <si>
    <t>Сальдо
 на 01.01
+экономия
-перерасход</t>
  </si>
  <si>
    <t>год</t>
  </si>
  <si>
    <t>выполнено работ, руб.</t>
  </si>
  <si>
    <t>начислено</t>
  </si>
  <si>
    <t>оплачено</t>
  </si>
  <si>
    <t>результат
(+долг, 
-перепл.)</t>
  </si>
  <si>
    <t>обслуж.</t>
  </si>
  <si>
    <t>тек. рем.</t>
  </si>
  <si>
    <t>кап.рем.</t>
  </si>
  <si>
    <t>итого</t>
  </si>
  <si>
    <t>обслуж.
+ тек.р.</t>
  </si>
  <si>
    <t>2008г</t>
  </si>
  <si>
    <t>2009г</t>
  </si>
  <si>
    <t>2010г</t>
  </si>
  <si>
    <t>2011г</t>
  </si>
  <si>
    <t xml:space="preserve">S нежилых </t>
  </si>
  <si>
    <t xml:space="preserve">помещений, </t>
  </si>
  <si>
    <t>Виды услуг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</si>
  <si>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</si>
  <si>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</si>
  <si>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</si>
  <si>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</si>
  <si>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</si>
  <si>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</si>
  <si>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</si>
  <si>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</si>
  <si>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</si>
  <si>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</si>
  <si>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</si>
  <si>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</si>
  <si>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</si>
  <si>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                     Представитель собственников  - старший по дому  А.М. Пронин, с одной стороны и Общество с Ограниченной Ответственностью "Октябрьский Жилкомсервис № 1", в лице директора Ломова И.А., действующее на основании Устава,  с другой стороны, составили настоящий отчет о выполненных работах  в  2010г.      </t>
  </si>
  <si>
    <t>ОТЧЕТ
за  2010 г. о выполненнии условий  договора управления МКД
№ 361/1 от 28.03.08г, заключенного между ООО "ОЖКС № 1" 
и собственниками многоквартирного дома
по адресу:  пр. Ленина, 15</t>
  </si>
  <si>
    <t xml:space="preserve"> - ожидаемый сбор на содержание и текущий ремонт общего имущества жилого дома</t>
  </si>
  <si>
    <t>ООО "ОЖКС № 6"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</si>
  <si>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</si>
  <si>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</si>
  <si>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</si>
  <si>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</si>
  <si>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по  договору управления МКД 
№ 361/1 от 28.03.08г, заключенного между ООО "ОЖКС № 1" 
и собственниками многоквартирного дома
по адресу:  пр. Ленина, 15</t>
  </si>
  <si>
    <t>Сумма в год, руб.</t>
  </si>
  <si>
    <t>население</t>
  </si>
  <si>
    <t>арендаторы</t>
  </si>
  <si>
    <t>всего</t>
  </si>
  <si>
    <t xml:space="preserve"> - прочие доходы (антены)</t>
  </si>
  <si>
    <t>Обслуживание домофонов</t>
  </si>
  <si>
    <t>Обслуживание приборов учета</t>
  </si>
  <si>
    <t>Сбор, вывоз  бытового мусора, содержание контенейрых площадок</t>
  </si>
  <si>
    <t xml:space="preserve">Сбор, вывоз  бытового мусора, содержание  мусоропроводов </t>
  </si>
  <si>
    <t>2012г</t>
  </si>
  <si>
    <t>Принято: Старший по дому                                                  А.М. Пронин</t>
  </si>
  <si>
    <t>Смета доходов и расходов  на  2011 г.
согласно договора управления МКД
№ 361/1 от 28.03.08г, заключенного между ООО "ОЖКС № 1" 
и собственниками многоквартирного дома
по адресу:  пр. Ленина, 15</t>
  </si>
  <si>
    <t>взаимоотношения с населением по утвержденному тарифу, руб.</t>
  </si>
  <si>
    <t>прочие доходы, руб.</t>
  </si>
  <si>
    <t>ИТОГО
ДОХОДОВ</t>
  </si>
  <si>
    <t>аренда
торы</t>
  </si>
  <si>
    <t>антенны</t>
  </si>
  <si>
    <t>бюджетные
средства по ФЗ-185</t>
  </si>
  <si>
    <t>управ
ление</t>
  </si>
  <si>
    <t>5=3+4</t>
  </si>
  <si>
    <t>8=6+7</t>
  </si>
  <si>
    <t>9=5-8</t>
  </si>
  <si>
    <t>13=
8+10+11+12</t>
  </si>
  <si>
    <t>18=14+15+
16+17</t>
  </si>
  <si>
    <t>19=13-18</t>
  </si>
  <si>
    <t>Итого</t>
  </si>
  <si>
    <t>результат
 за год
(+эконом., 
-перерасх.)</t>
  </si>
  <si>
    <t>ОТЧЕТ
за  2011 г. о выполненнии условий  договора управления МКД
№ 361/1 от 28.03.08г, заключенного между ООО "ОЖКС № 1" 
и собственниками многоквартирного дома
по адресу:  пр. Ленина, 15</t>
  </si>
  <si>
    <t xml:space="preserve">Финансовый результат за 2011г. (+ экономия,- перерасход)                                                      </t>
  </si>
  <si>
    <t>Принято: Старший по дому                                                 ___________________________</t>
  </si>
  <si>
    <t xml:space="preserve">Капитальный ремонт  </t>
  </si>
  <si>
    <t>Смета доходов и расходов  на  2012 г.
согласно договора управления МКД
№ 361/1 от 28.03.08г, заключенного между ООО "ОЖКС № 1" 
и собственниками многоквартирного дома
по адресу:  пр. Ленина, 15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</si>
  <si>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</si>
  <si>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 </t>
  </si>
  <si>
    <t xml:space="preserve">                     Представитель собственников  - старший по дому  _____________________________, с одной стороны и Общество с Ограниченной Ответственностью "Октябрьский Жилкомсервис № 1", в лице директора _____________________, действующее на основании Устава,  с другой стороны, составили настоящий отчет о выполненных работах  в  2011г.      </t>
  </si>
  <si>
    <t>____________________</t>
  </si>
  <si>
    <t xml:space="preserve"> Текущий ремонт общего имущества </t>
  </si>
  <si>
    <t>Директор ООО "ОЖКС № 1"                                                           А.В. Яроцкова</t>
  </si>
  <si>
    <t xml:space="preserve">         Приложение №7 к Договору 
на оказание услуг и  выполнение работ   
по содержанию, текущему и капитальному ремонту  
общего имущества МКД № ___ от "____"___________2012г.</t>
  </si>
  <si>
    <t>Расчет стоимости договора и тарифа 1 м2 на 2012 г.</t>
  </si>
  <si>
    <t>1.1.</t>
  </si>
  <si>
    <t>1.2.</t>
  </si>
  <si>
    <t>1.3.</t>
  </si>
  <si>
    <t>по плану работ</t>
  </si>
  <si>
    <t>* в случае уточнения площадей возможно изменение стоимости</t>
  </si>
  <si>
    <t>Справочно: индекс увеличения тарифа по году 103%:</t>
  </si>
  <si>
    <t>- с 1 января 2012г. Тариф остается на уровне 2011г.</t>
  </si>
  <si>
    <t>- с 1 июля 2012г. к Тарифу применен индекс 106%.</t>
  </si>
  <si>
    <t xml:space="preserve">           Представитель собственников</t>
  </si>
  <si>
    <t xml:space="preserve">            ________________________</t>
  </si>
  <si>
    <t xml:space="preserve">Директор ООО "ОЖКС № 1"                                                                       </t>
  </si>
  <si>
    <t>________________ А.В. Яроцкова</t>
  </si>
  <si>
    <t>Тариф 
на 1 кв.м. июль-декабрь 2012г.
руб.</t>
  </si>
  <si>
    <t>Стоимость работ
июль-декабрь 2012г.             руб.</t>
  </si>
  <si>
    <t>5=гр.4*Sдома*6мес.</t>
  </si>
  <si>
    <t>Сбор, вывоз  бытового мусора</t>
  </si>
  <si>
    <t>подметание асфальта -   1 раз/неделю,                
подбор мусора - ежедневно</t>
  </si>
  <si>
    <t>Тариф с 1 июля 2012 г. - 15,36 руб., капитальный ремонт - 0,80 руб.</t>
  </si>
  <si>
    <t>ОТЧЕТ
за  2012 г. о выполненнии условий  договора управления МКД
№ 361/1 от 28.03.08г, заключенного между ООО "ОЖКС № 1" 
и собственниками многоквартирного дома
по адресу:  пр. Ленина, 15</t>
  </si>
  <si>
    <t xml:space="preserve">                     Представитель собственников  - старший по дому  _____________________________, с одной стороны и Общество с Ограниченной Ответственностью "Октябрьский Жилкомсервис № 1", в лице директора Зенгер Д.В., действующее на основании Устава,  с другой стороны, составили настоящий отчет о выполненных работах  в  2012г.    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</si>
  <si>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</si>
  <si>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</si>
  <si>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</si>
  <si>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</si>
  <si>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</si>
  <si>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 xml:space="preserve"> - прочие доходы </t>
  </si>
  <si>
    <t>Сбор, вывоз бытового мусора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</si>
  <si>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</si>
  <si>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</si>
  <si>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</si>
  <si>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>Старший по дому                                                                     ________________________________</t>
  </si>
  <si>
    <t xml:space="preserve">Директор ООО "ОЖКС № 1"                                 </t>
  </si>
  <si>
    <t>____________ Д.В. Зенгер</t>
  </si>
  <si>
    <t xml:space="preserve">Финансовый результат </t>
  </si>
  <si>
    <t>по договору управления подтверждаю:</t>
  </si>
  <si>
    <t>Старший по дому                                                                   _____________________</t>
  </si>
  <si>
    <t>_______________/________/</t>
  </si>
  <si>
    <t>Исполнитель: Стыценкова И.А.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</si>
</sst>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#,##0_ ;[Red]\-#,##0\ "/>
    <numFmt numFmtId="172" formatCode="#,##0.0_ ;[Red]\-#,##0.0\ "/>
  </numFmts>
  <fonts count="1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6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3" borderId="1" xfId="0" applyFill="1" applyBorder="1" applyAlignment="1">
      <alignment/>
    </xf>
    <xf numFmtId="4" fontId="0" fillId="3" borderId="1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  <xf numFmtId="0" fontId="2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" fontId="2" fillId="0" borderId="4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16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vertical="center"/>
    </xf>
    <xf numFmtId="170" fontId="2" fillId="0" borderId="0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1" fontId="2" fillId="0" borderId="17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 shrinkToFit="1"/>
    </xf>
    <xf numFmtId="0" fontId="0" fillId="0" borderId="1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" xfId="0" applyFont="1" applyBorder="1" applyAlignment="1">
      <alignment horizontal="left" wrapText="1" inden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2" fillId="0" borderId="0" xfId="0" applyFont="1" applyAlignment="1">
      <alignment horizontal="justify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/>
    </xf>
    <xf numFmtId="0" fontId="0" fillId="0" borderId="2" xfId="0" applyFont="1" applyBorder="1" applyAlignment="1">
      <alignment horizontal="justify" vertical="center"/>
    </xf>
    <xf numFmtId="49" fontId="2" fillId="0" borderId="26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10" fillId="0" borderId="2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8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D25" sqref="D25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50390625" style="0" customWidth="1"/>
    <col min="5" max="5" width="11.00390625" style="0" customWidth="1"/>
  </cols>
  <sheetData>
    <row r="1" spans="1:4" ht="104.25" customHeight="1">
      <c r="A1" s="219" t="s">
        <v>89</v>
      </c>
      <c r="B1" s="220"/>
      <c r="C1" s="220"/>
      <c r="D1" s="220"/>
    </row>
    <row r="2" spans="1:4" ht="75" customHeight="1">
      <c r="A2" s="221" t="s">
        <v>90</v>
      </c>
      <c r="B2" s="222"/>
      <c r="C2" s="222"/>
      <c r="D2" s="222"/>
    </row>
    <row r="3" spans="1:5" ht="36" customHeight="1">
      <c r="A3" s="23" t="s">
        <v>91</v>
      </c>
      <c r="B3" s="23" t="s">
        <v>92</v>
      </c>
      <c r="C3" s="11" t="s">
        <v>93</v>
      </c>
      <c r="D3" s="27" t="s">
        <v>94</v>
      </c>
      <c r="E3" s="47" t="s">
        <v>95</v>
      </c>
    </row>
    <row r="4" spans="1:5" ht="18.75" customHeight="1">
      <c r="A4" s="48" t="s">
        <v>96</v>
      </c>
      <c r="B4" s="49" t="s">
        <v>97</v>
      </c>
      <c r="C4" s="11" t="s">
        <v>98</v>
      </c>
      <c r="D4" s="50">
        <v>9</v>
      </c>
      <c r="E4" s="50">
        <v>9</v>
      </c>
    </row>
    <row r="5" spans="1:5" ht="15.75">
      <c r="A5" s="51" t="s">
        <v>99</v>
      </c>
      <c r="B5" s="52" t="s">
        <v>100</v>
      </c>
      <c r="C5" s="53" t="s">
        <v>101</v>
      </c>
      <c r="D5" s="54">
        <v>2076.1</v>
      </c>
      <c r="E5" s="54">
        <v>2076.1</v>
      </c>
    </row>
    <row r="6" spans="1:5" ht="15.75">
      <c r="A6" s="51" t="s">
        <v>102</v>
      </c>
      <c r="B6" s="52" t="s">
        <v>103</v>
      </c>
      <c r="C6" s="53" t="s">
        <v>98</v>
      </c>
      <c r="D6" s="55">
        <v>48</v>
      </c>
      <c r="E6" s="55">
        <v>48</v>
      </c>
    </row>
    <row r="7" spans="1:5" ht="15.75">
      <c r="A7" s="51" t="s">
        <v>104</v>
      </c>
      <c r="B7" s="52" t="s">
        <v>105</v>
      </c>
      <c r="C7" s="46"/>
      <c r="D7" s="54"/>
      <c r="E7" s="54"/>
    </row>
    <row r="8" spans="1:5" ht="15.75">
      <c r="A8" s="56" t="s">
        <v>106</v>
      </c>
      <c r="B8" s="52" t="s">
        <v>107</v>
      </c>
      <c r="C8" s="46"/>
      <c r="D8" s="54"/>
      <c r="E8" s="54"/>
    </row>
    <row r="9" spans="1:5" ht="17.25" customHeight="1">
      <c r="A9" s="57"/>
      <c r="B9" s="35" t="s">
        <v>108</v>
      </c>
      <c r="C9" s="46" t="s">
        <v>109</v>
      </c>
      <c r="D9" s="54">
        <v>169638.51</v>
      </c>
      <c r="E9" s="54">
        <v>169638.51</v>
      </c>
    </row>
    <row r="10" spans="1:5" ht="16.5" customHeight="1">
      <c r="A10" s="57"/>
      <c r="B10" s="35" t="s">
        <v>110</v>
      </c>
      <c r="C10" s="46" t="s">
        <v>109</v>
      </c>
      <c r="D10" s="54">
        <v>159696.42</v>
      </c>
      <c r="E10" s="54">
        <v>159696.42</v>
      </c>
    </row>
    <row r="11" spans="1:5" ht="15.75">
      <c r="A11" s="57"/>
      <c r="B11" s="52" t="s">
        <v>111</v>
      </c>
      <c r="C11" s="53" t="s">
        <v>109</v>
      </c>
      <c r="D11" s="58">
        <f>D9-D10</f>
        <v>9942.089999999997</v>
      </c>
      <c r="E11" s="58">
        <f>E9-E10</f>
        <v>9942.089999999997</v>
      </c>
    </row>
    <row r="12" spans="1:5" ht="18" customHeight="1">
      <c r="A12" s="56" t="s">
        <v>112</v>
      </c>
      <c r="B12" s="52" t="s">
        <v>113</v>
      </c>
      <c r="C12" s="46"/>
      <c r="D12" s="54"/>
      <c r="E12" s="54"/>
    </row>
    <row r="13" spans="1:5" ht="15.75">
      <c r="A13" s="57"/>
      <c r="B13" s="35" t="s">
        <v>108</v>
      </c>
      <c r="C13" s="46" t="s">
        <v>109</v>
      </c>
      <c r="D13" s="54">
        <v>9052.05</v>
      </c>
      <c r="E13" s="54"/>
    </row>
    <row r="14" spans="1:5" ht="15.75" customHeight="1">
      <c r="A14" s="57"/>
      <c r="B14" s="35" t="s">
        <v>110</v>
      </c>
      <c r="C14" s="46" t="s">
        <v>109</v>
      </c>
      <c r="D14" s="54">
        <v>9247.66</v>
      </c>
      <c r="E14" s="54"/>
    </row>
    <row r="15" spans="1:5" ht="15.75" customHeight="1">
      <c r="A15" s="57"/>
      <c r="B15" s="52" t="s">
        <v>111</v>
      </c>
      <c r="C15" s="53" t="s">
        <v>109</v>
      </c>
      <c r="D15" s="58">
        <f>D13-D14</f>
        <v>-195.61000000000058</v>
      </c>
      <c r="E15" s="58">
        <f>E13-E14</f>
        <v>0</v>
      </c>
    </row>
    <row r="16" spans="1:5" ht="15" customHeight="1">
      <c r="A16" s="59" t="s">
        <v>114</v>
      </c>
      <c r="B16" s="52" t="s">
        <v>115</v>
      </c>
      <c r="C16" s="46"/>
      <c r="D16" s="60"/>
      <c r="E16" s="60"/>
    </row>
    <row r="17" spans="1:5" ht="15.75">
      <c r="A17" s="61"/>
      <c r="B17" s="35" t="s">
        <v>108</v>
      </c>
      <c r="C17" s="46" t="s">
        <v>109</v>
      </c>
      <c r="D17" s="60">
        <v>2036.16</v>
      </c>
      <c r="E17" s="60">
        <v>2036.16</v>
      </c>
    </row>
    <row r="18" spans="1:5" ht="15.75" customHeight="1">
      <c r="A18" s="61"/>
      <c r="B18" s="35" t="s">
        <v>110</v>
      </c>
      <c r="C18" s="46" t="s">
        <v>109</v>
      </c>
      <c r="D18" s="60">
        <v>1255.49</v>
      </c>
      <c r="E18" s="60">
        <v>1255.49</v>
      </c>
    </row>
    <row r="19" spans="1:5" ht="15.75">
      <c r="A19" s="61"/>
      <c r="B19" s="52" t="s">
        <v>111</v>
      </c>
      <c r="C19" s="46" t="s">
        <v>109</v>
      </c>
      <c r="D19" s="62">
        <f>D17-D18</f>
        <v>780.6700000000001</v>
      </c>
      <c r="E19" s="62">
        <f>E17-E18</f>
        <v>780.6700000000001</v>
      </c>
    </row>
    <row r="20" spans="1:5" ht="17.25" customHeight="1">
      <c r="A20" s="57"/>
      <c r="B20" s="52" t="s">
        <v>116</v>
      </c>
      <c r="C20" s="46" t="s">
        <v>109</v>
      </c>
      <c r="D20" s="58">
        <f>D9+D13+D17</f>
        <v>180726.72</v>
      </c>
      <c r="E20" s="58">
        <f>E9+E13+E17</f>
        <v>171674.67</v>
      </c>
    </row>
    <row r="21" spans="1:5" ht="14.25" customHeight="1">
      <c r="A21" s="57"/>
      <c r="B21" s="52" t="s">
        <v>117</v>
      </c>
      <c r="C21" s="46" t="s">
        <v>109</v>
      </c>
      <c r="D21" s="58">
        <f>D11+D15+D19</f>
        <v>10527.149999999996</v>
      </c>
      <c r="E21" s="58">
        <f>E11+E15+E19</f>
        <v>10722.759999999997</v>
      </c>
    </row>
    <row r="22" spans="1:5" ht="18" customHeight="1">
      <c r="A22" s="51" t="s">
        <v>118</v>
      </c>
      <c r="B22" s="63" t="s">
        <v>119</v>
      </c>
      <c r="C22" s="46"/>
      <c r="D22" s="54"/>
      <c r="E22" s="54"/>
    </row>
    <row r="23" spans="1:5" ht="93" customHeight="1">
      <c r="A23" s="64" t="s">
        <v>120</v>
      </c>
      <c r="B23" s="65" t="s">
        <v>121</v>
      </c>
      <c r="C23" s="53" t="s">
        <v>109</v>
      </c>
      <c r="D23" s="58">
        <f>D9*0.11</f>
        <v>18660.236100000002</v>
      </c>
      <c r="E23" s="58">
        <f>E9*0.11</f>
        <v>18660.236100000002</v>
      </c>
    </row>
    <row r="24" spans="1:5" ht="93" customHeight="1">
      <c r="A24" s="64" t="s">
        <v>122</v>
      </c>
      <c r="B24" s="65" t="s">
        <v>123</v>
      </c>
      <c r="C24" s="53" t="s">
        <v>109</v>
      </c>
      <c r="D24" s="58">
        <f>D9*0.7</f>
        <v>118746.957</v>
      </c>
      <c r="E24" s="58">
        <f>E9*0.7</f>
        <v>118746.957</v>
      </c>
    </row>
    <row r="25" spans="1:5" ht="15" customHeight="1">
      <c r="A25" s="64" t="s">
        <v>124</v>
      </c>
      <c r="B25" s="52" t="s">
        <v>125</v>
      </c>
      <c r="C25" s="53" t="s">
        <v>109</v>
      </c>
      <c r="D25" s="66">
        <v>82100</v>
      </c>
      <c r="E25" s="66">
        <v>82100</v>
      </c>
    </row>
    <row r="26" spans="1:5" ht="15.75" hidden="1">
      <c r="A26" s="64" t="s">
        <v>126</v>
      </c>
      <c r="B26" s="52" t="s">
        <v>127</v>
      </c>
      <c r="C26" s="53" t="s">
        <v>109</v>
      </c>
      <c r="D26" s="66">
        <v>0</v>
      </c>
      <c r="E26" s="66">
        <v>0</v>
      </c>
    </row>
    <row r="27" spans="1:5" ht="15.75">
      <c r="A27" s="57"/>
      <c r="B27" s="52" t="s">
        <v>128</v>
      </c>
      <c r="C27" s="53" t="s">
        <v>109</v>
      </c>
      <c r="D27" s="58">
        <f>D23+D24+D25+D26</f>
        <v>219507.1931</v>
      </c>
      <c r="E27" s="58">
        <f>E23+E24+E25+E26</f>
        <v>219507.1931</v>
      </c>
    </row>
    <row r="28" spans="1:5" ht="15.75">
      <c r="A28" s="56" t="s">
        <v>62</v>
      </c>
      <c r="B28" s="52" t="s">
        <v>129</v>
      </c>
      <c r="C28" s="46" t="s">
        <v>109</v>
      </c>
      <c r="D28" s="54">
        <f>D20-D27</f>
        <v>-38780.4731</v>
      </c>
      <c r="E28" s="54">
        <f>E20-E27</f>
        <v>-47832.52309999999</v>
      </c>
    </row>
    <row r="29" spans="1:5" ht="31.5">
      <c r="A29" s="64" t="s">
        <v>130</v>
      </c>
      <c r="B29" s="65" t="s">
        <v>131</v>
      </c>
      <c r="C29" s="46" t="s">
        <v>109</v>
      </c>
      <c r="D29" s="54">
        <f>D28-D21</f>
        <v>-49307.6231</v>
      </c>
      <c r="E29" s="54">
        <f>E28-E21</f>
        <v>-58555.283099999986</v>
      </c>
    </row>
    <row r="30" spans="1:4" ht="15.75">
      <c r="A30" s="67"/>
      <c r="B30" s="68"/>
      <c r="C30" s="69"/>
      <c r="D30" s="69"/>
    </row>
    <row r="31" spans="2:4" ht="17.25" customHeight="1">
      <c r="B31" s="223" t="s">
        <v>132</v>
      </c>
      <c r="C31" s="223"/>
      <c r="D31" s="223"/>
    </row>
    <row r="32" spans="2:4" ht="15.75">
      <c r="B32" s="70"/>
      <c r="C32" s="70"/>
      <c r="D32" s="70"/>
    </row>
    <row r="33" spans="2:4" ht="15.75">
      <c r="B33" s="71" t="s">
        <v>79</v>
      </c>
      <c r="C33" s="71"/>
      <c r="D33" s="71"/>
    </row>
    <row r="34" spans="2:4" ht="15.75">
      <c r="B34" s="224" t="s">
        <v>133</v>
      </c>
      <c r="C34" s="224"/>
      <c r="D34" s="224"/>
    </row>
    <row r="35" spans="2:4" ht="15.75">
      <c r="B35" s="218" t="s">
        <v>134</v>
      </c>
      <c r="C35" s="218"/>
      <c r="D35" s="218"/>
    </row>
  </sheetData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6">
      <selection activeCell="B3" sqref="B3:E6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3.75390625" style="0" customWidth="1"/>
    <col min="5" max="5" width="18.375" style="0" customWidth="1"/>
    <col min="6" max="6" width="19.625" style="0" customWidth="1"/>
    <col min="7" max="7" width="9.25390625" style="0" customWidth="1"/>
    <col min="8" max="8" width="13.125" style="0" customWidth="1"/>
    <col min="9" max="9" width="9.875" style="0" bestFit="1" customWidth="1"/>
  </cols>
  <sheetData>
    <row r="1" spans="1:8" ht="93" customHeight="1">
      <c r="A1" s="235" t="s">
        <v>88</v>
      </c>
      <c r="B1" s="235"/>
      <c r="C1" s="235"/>
      <c r="D1" s="235"/>
      <c r="E1" s="235"/>
      <c r="F1" s="235"/>
      <c r="G1" s="235"/>
      <c r="H1" s="235"/>
    </row>
    <row r="2" spans="1:8" ht="54" customHeight="1">
      <c r="A2" s="236" t="s">
        <v>86</v>
      </c>
      <c r="B2" s="236"/>
      <c r="C2" s="236"/>
      <c r="D2" s="236"/>
      <c r="E2" s="236"/>
      <c r="F2" s="236"/>
      <c r="G2" s="236"/>
      <c r="H2" s="236"/>
    </row>
    <row r="3" spans="1:6" ht="18.75">
      <c r="A3" s="1" t="s">
        <v>80</v>
      </c>
      <c r="B3" s="1" t="s">
        <v>81</v>
      </c>
      <c r="C3" s="2"/>
      <c r="D3" s="2" t="s">
        <v>0</v>
      </c>
      <c r="E3" s="4">
        <v>2076.1</v>
      </c>
      <c r="F3" s="2"/>
    </row>
    <row r="4" spans="2:6" ht="15.75">
      <c r="B4" s="3" t="s">
        <v>1</v>
      </c>
      <c r="C4" s="37">
        <v>9</v>
      </c>
      <c r="D4" s="2" t="s">
        <v>2</v>
      </c>
      <c r="E4" s="4">
        <v>48</v>
      </c>
      <c r="F4" s="2"/>
    </row>
    <row r="5" spans="2:7" ht="15.75">
      <c r="B5" s="3" t="s">
        <v>3</v>
      </c>
      <c r="C5" s="4">
        <v>1</v>
      </c>
      <c r="D5" s="2" t="s">
        <v>4</v>
      </c>
      <c r="E5" s="2" t="s">
        <v>17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61</v>
      </c>
      <c r="B7" s="227"/>
      <c r="C7" s="227"/>
      <c r="D7" s="227"/>
      <c r="E7" s="11" t="s">
        <v>6</v>
      </c>
      <c r="F7" s="11" t="s">
        <v>7</v>
      </c>
      <c r="G7" s="33" t="s">
        <v>23</v>
      </c>
      <c r="H7" s="10" t="s">
        <v>34</v>
      </c>
    </row>
    <row r="8" spans="1:8" ht="15.75">
      <c r="A8" s="23"/>
      <c r="B8" s="228" t="s">
        <v>65</v>
      </c>
      <c r="C8" s="229"/>
      <c r="D8" s="229"/>
      <c r="E8" s="229"/>
      <c r="F8" s="230"/>
      <c r="G8" s="15"/>
      <c r="H8" s="16"/>
    </row>
    <row r="9" spans="1:8" ht="15.75" customHeight="1">
      <c r="A9" s="23"/>
      <c r="B9" s="233" t="s">
        <v>74</v>
      </c>
      <c r="C9" s="233"/>
      <c r="D9" s="233"/>
      <c r="E9" s="233"/>
      <c r="F9" s="233"/>
      <c r="G9" s="15"/>
      <c r="H9" s="32">
        <v>22328.67</v>
      </c>
    </row>
    <row r="10" spans="1:8" ht="15.75">
      <c r="A10" s="23">
        <v>1</v>
      </c>
      <c r="B10" s="232" t="s">
        <v>63</v>
      </c>
      <c r="C10" s="232"/>
      <c r="D10" s="232"/>
      <c r="E10" s="232"/>
      <c r="F10" s="232"/>
      <c r="G10" s="17"/>
      <c r="H10" s="35">
        <v>299197.26</v>
      </c>
    </row>
    <row r="11" spans="1:8" ht="15.75">
      <c r="A11" s="23"/>
      <c r="B11" s="232" t="s">
        <v>76</v>
      </c>
      <c r="C11" s="232"/>
      <c r="D11" s="232"/>
      <c r="E11" s="232"/>
      <c r="F11" s="232"/>
      <c r="G11" s="17"/>
      <c r="H11" s="38">
        <f>H10*0.9</f>
        <v>269277.53400000004</v>
      </c>
    </row>
    <row r="12" spans="1:8" ht="15.75">
      <c r="A12" s="23"/>
      <c r="B12" s="232" t="s">
        <v>77</v>
      </c>
      <c r="C12" s="232"/>
      <c r="D12" s="232"/>
      <c r="E12" s="232"/>
      <c r="F12" s="232"/>
      <c r="G12" s="17"/>
      <c r="H12" s="39">
        <f>H10-H11</f>
        <v>29919.725999999966</v>
      </c>
    </row>
    <row r="13" spans="1:8" ht="15.75">
      <c r="A13" s="23">
        <v>2</v>
      </c>
      <c r="B13" s="232" t="s">
        <v>64</v>
      </c>
      <c r="C13" s="232"/>
      <c r="D13" s="232"/>
      <c r="E13" s="232"/>
      <c r="F13" s="232"/>
      <c r="G13" s="17"/>
      <c r="H13" s="18">
        <v>273060.81</v>
      </c>
    </row>
    <row r="14" spans="1:8" ht="15.75">
      <c r="A14" s="23">
        <v>3</v>
      </c>
      <c r="B14" s="232" t="s">
        <v>68</v>
      </c>
      <c r="C14" s="232"/>
      <c r="D14" s="232"/>
      <c r="E14" s="232"/>
      <c r="F14" s="232"/>
      <c r="G14" s="17"/>
      <c r="H14" s="39">
        <f>H10-H13</f>
        <v>26136.45000000001</v>
      </c>
    </row>
    <row r="15" spans="1:9" ht="15.75">
      <c r="A15" s="23">
        <v>4</v>
      </c>
      <c r="B15" s="233" t="s">
        <v>75</v>
      </c>
      <c r="C15" s="233"/>
      <c r="D15" s="233"/>
      <c r="E15" s="233"/>
      <c r="F15" s="233"/>
      <c r="G15" s="17"/>
      <c r="H15" s="40">
        <f>H9+H10-H13</f>
        <v>48465.119999999995</v>
      </c>
      <c r="I15" s="31"/>
    </row>
    <row r="16" spans="1:8" ht="18.75">
      <c r="A16" s="23">
        <v>5</v>
      </c>
      <c r="B16" s="234" t="s">
        <v>66</v>
      </c>
      <c r="C16" s="234"/>
      <c r="D16" s="234"/>
      <c r="E16" s="234"/>
      <c r="F16" s="234"/>
      <c r="G16" s="17"/>
      <c r="H16" s="39"/>
    </row>
    <row r="17" spans="1:8" ht="15.75">
      <c r="A17" s="23" t="s">
        <v>40</v>
      </c>
      <c r="B17" s="19" t="s">
        <v>67</v>
      </c>
      <c r="C17" s="19"/>
      <c r="D17" s="19"/>
      <c r="E17" s="19"/>
      <c r="F17" s="5"/>
      <c r="G17" s="20"/>
      <c r="H17" s="41"/>
    </row>
    <row r="18" spans="1:8" ht="31.5">
      <c r="A18" s="26" t="s">
        <v>41</v>
      </c>
      <c r="B18" s="231" t="s">
        <v>19</v>
      </c>
      <c r="C18" s="231"/>
      <c r="D18" s="231"/>
      <c r="E18" s="6" t="s">
        <v>33</v>
      </c>
      <c r="F18" s="6" t="s">
        <v>25</v>
      </c>
      <c r="G18" s="12">
        <v>1.06</v>
      </c>
      <c r="H18" s="42">
        <f>ROUND(G18*$E$3*12,2)</f>
        <v>26407.99</v>
      </c>
    </row>
    <row r="19" spans="1:8" ht="15.75">
      <c r="A19" s="23" t="s">
        <v>42</v>
      </c>
      <c r="B19" s="231" t="s">
        <v>18</v>
      </c>
      <c r="C19" s="231"/>
      <c r="D19" s="231"/>
      <c r="E19" s="6" t="s">
        <v>33</v>
      </c>
      <c r="F19" s="6" t="s">
        <v>20</v>
      </c>
      <c r="G19" s="12">
        <v>0.26</v>
      </c>
      <c r="H19" s="42">
        <f aca="true" t="shared" si="0" ref="H19:H31">ROUND(G19*$E$3*12,2)</f>
        <v>6477.43</v>
      </c>
    </row>
    <row r="20" spans="1:8" ht="15.75">
      <c r="A20" s="26" t="s">
        <v>43</v>
      </c>
      <c r="B20" s="232" t="s">
        <v>24</v>
      </c>
      <c r="C20" s="232"/>
      <c r="D20" s="232"/>
      <c r="E20" s="7" t="s">
        <v>8</v>
      </c>
      <c r="F20" s="7" t="s">
        <v>21</v>
      </c>
      <c r="G20" s="12">
        <v>0.9</v>
      </c>
      <c r="H20" s="42">
        <f t="shared" si="0"/>
        <v>22421.88</v>
      </c>
    </row>
    <row r="21" spans="1:8" ht="33" customHeight="1">
      <c r="A21" s="23" t="s">
        <v>44</v>
      </c>
      <c r="B21" s="242" t="s">
        <v>32</v>
      </c>
      <c r="C21" s="242"/>
      <c r="D21" s="242"/>
      <c r="E21" s="8" t="s">
        <v>9</v>
      </c>
      <c r="F21" s="8" t="s">
        <v>10</v>
      </c>
      <c r="G21" s="12">
        <v>0.46</v>
      </c>
      <c r="H21" s="42">
        <f t="shared" si="0"/>
        <v>11460.07</v>
      </c>
    </row>
    <row r="22" spans="1:8" ht="63">
      <c r="A22" s="26" t="s">
        <v>47</v>
      </c>
      <c r="B22" s="232" t="s">
        <v>28</v>
      </c>
      <c r="C22" s="232"/>
      <c r="D22" s="232"/>
      <c r="E22" s="7" t="s">
        <v>35</v>
      </c>
      <c r="F22" s="7" t="s">
        <v>26</v>
      </c>
      <c r="G22" s="12">
        <v>0.11</v>
      </c>
      <c r="H22" s="42">
        <f t="shared" si="0"/>
        <v>2740.45</v>
      </c>
    </row>
    <row r="23" spans="1:8" ht="31.5">
      <c r="A23" s="23" t="s">
        <v>45</v>
      </c>
      <c r="B23" s="232" t="s">
        <v>11</v>
      </c>
      <c r="C23" s="232"/>
      <c r="D23" s="232"/>
      <c r="E23" s="7" t="s">
        <v>9</v>
      </c>
      <c r="F23" s="7" t="s">
        <v>12</v>
      </c>
      <c r="G23" s="12">
        <v>1.89</v>
      </c>
      <c r="H23" s="42">
        <f t="shared" si="0"/>
        <v>47085.95</v>
      </c>
    </row>
    <row r="24" spans="1:8" ht="15.75">
      <c r="A24" s="26" t="s">
        <v>46</v>
      </c>
      <c r="B24" s="232" t="s">
        <v>27</v>
      </c>
      <c r="C24" s="213"/>
      <c r="D24" s="213"/>
      <c r="E24" s="9" t="s">
        <v>13</v>
      </c>
      <c r="F24" s="9" t="s">
        <v>14</v>
      </c>
      <c r="G24" s="12">
        <v>0.04</v>
      </c>
      <c r="H24" s="42">
        <f t="shared" si="0"/>
        <v>996.53</v>
      </c>
    </row>
    <row r="25" spans="1:8" ht="36.75" customHeight="1">
      <c r="A25" s="23" t="s">
        <v>48</v>
      </c>
      <c r="B25" s="214" t="s">
        <v>84</v>
      </c>
      <c r="C25" s="215"/>
      <c r="D25" s="216"/>
      <c r="E25" s="9" t="s">
        <v>13</v>
      </c>
      <c r="F25" s="7" t="s">
        <v>82</v>
      </c>
      <c r="G25" s="12">
        <v>0.22</v>
      </c>
      <c r="H25" s="42">
        <f t="shared" si="0"/>
        <v>5480.9</v>
      </c>
    </row>
    <row r="26" spans="1:8" ht="31.5">
      <c r="A26" s="26" t="s">
        <v>49</v>
      </c>
      <c r="B26" s="232" t="s">
        <v>72</v>
      </c>
      <c r="C26" s="232"/>
      <c r="D26" s="232"/>
      <c r="E26" s="6" t="s">
        <v>36</v>
      </c>
      <c r="F26" s="7" t="s">
        <v>82</v>
      </c>
      <c r="G26" s="12">
        <v>2.5</v>
      </c>
      <c r="H26" s="42">
        <f t="shared" si="0"/>
        <v>62283</v>
      </c>
    </row>
    <row r="27" spans="1:8" ht="31.5">
      <c r="A27" s="23" t="s">
        <v>50</v>
      </c>
      <c r="B27" s="231" t="s">
        <v>15</v>
      </c>
      <c r="C27" s="231"/>
      <c r="D27" s="231"/>
      <c r="E27" s="6" t="s">
        <v>36</v>
      </c>
      <c r="F27" s="7" t="s">
        <v>82</v>
      </c>
      <c r="G27" s="12">
        <v>0.46</v>
      </c>
      <c r="H27" s="42">
        <f t="shared" si="0"/>
        <v>11460.07</v>
      </c>
    </row>
    <row r="28" spans="1:8" ht="31.5">
      <c r="A28" s="26" t="s">
        <v>51</v>
      </c>
      <c r="B28" s="217" t="s">
        <v>37</v>
      </c>
      <c r="C28" s="211"/>
      <c r="D28" s="211"/>
      <c r="E28" s="6" t="s">
        <v>36</v>
      </c>
      <c r="F28" s="7" t="s">
        <v>82</v>
      </c>
      <c r="G28" s="13">
        <f>2.14-G29-G30</f>
        <v>1.8900000000000001</v>
      </c>
      <c r="H28" s="42">
        <f t="shared" si="0"/>
        <v>47085.95</v>
      </c>
    </row>
    <row r="29" spans="1:8" ht="31.5">
      <c r="A29" s="23" t="s">
        <v>52</v>
      </c>
      <c r="B29" s="232" t="s">
        <v>29</v>
      </c>
      <c r="C29" s="232"/>
      <c r="D29" s="232"/>
      <c r="E29" s="6" t="s">
        <v>36</v>
      </c>
      <c r="F29" s="7" t="s">
        <v>82</v>
      </c>
      <c r="G29" s="13">
        <v>0.25</v>
      </c>
      <c r="H29" s="42">
        <f t="shared" si="0"/>
        <v>6228.3</v>
      </c>
    </row>
    <row r="30" spans="1:8" ht="31.5">
      <c r="A30" s="26" t="s">
        <v>53</v>
      </c>
      <c r="B30" s="232" t="s">
        <v>30</v>
      </c>
      <c r="C30" s="232"/>
      <c r="D30" s="232"/>
      <c r="E30" s="6" t="s">
        <v>36</v>
      </c>
      <c r="F30" s="7" t="s">
        <v>82</v>
      </c>
      <c r="G30" s="13">
        <v>0</v>
      </c>
      <c r="H30" s="42">
        <f t="shared" si="0"/>
        <v>0</v>
      </c>
    </row>
    <row r="31" spans="1:8" ht="31.5">
      <c r="A31" s="23" t="s">
        <v>54</v>
      </c>
      <c r="B31" s="213" t="s">
        <v>22</v>
      </c>
      <c r="C31" s="213"/>
      <c r="D31" s="213"/>
      <c r="E31" s="6" t="s">
        <v>36</v>
      </c>
      <c r="F31" s="7" t="s">
        <v>82</v>
      </c>
      <c r="G31" s="9">
        <v>1.26</v>
      </c>
      <c r="H31" s="42">
        <f t="shared" si="0"/>
        <v>31390.63</v>
      </c>
    </row>
    <row r="32" spans="1:8" ht="15.75">
      <c r="A32" s="23" t="s">
        <v>55</v>
      </c>
      <c r="B32" s="237" t="s">
        <v>31</v>
      </c>
      <c r="C32" s="237"/>
      <c r="D32" s="237"/>
      <c r="E32" s="14"/>
      <c r="F32" s="7"/>
      <c r="G32" s="21">
        <f>SUM(G18:G31)</f>
        <v>11.299999999999999</v>
      </c>
      <c r="H32" s="43">
        <f>SUM(H18:H31)</f>
        <v>281519.14999999997</v>
      </c>
    </row>
    <row r="33" spans="1:8" ht="15.75">
      <c r="A33" s="23" t="s">
        <v>56</v>
      </c>
      <c r="B33" s="233" t="s">
        <v>38</v>
      </c>
      <c r="C33" s="213"/>
      <c r="D33" s="213"/>
      <c r="E33" s="14"/>
      <c r="F33" s="27" t="s">
        <v>83</v>
      </c>
      <c r="G33" s="24">
        <f>H33/E3/12</f>
        <v>4.0067113016392915</v>
      </c>
      <c r="H33" s="28">
        <v>99820</v>
      </c>
    </row>
    <row r="34" spans="1:8" ht="18.75">
      <c r="A34" s="25" t="s">
        <v>57</v>
      </c>
      <c r="B34" s="241" t="s">
        <v>70</v>
      </c>
      <c r="C34" s="241"/>
      <c r="D34" s="241"/>
      <c r="E34" s="241"/>
      <c r="F34" s="241"/>
      <c r="G34" s="5">
        <f>SUM(G32:G33)</f>
        <v>15.30671130163929</v>
      </c>
      <c r="H34" s="44">
        <f>SUM(H32:H33)</f>
        <v>381339.14999999997</v>
      </c>
    </row>
    <row r="35" spans="1:8" ht="18.75">
      <c r="A35" s="23" t="s">
        <v>62</v>
      </c>
      <c r="B35" s="238" t="s">
        <v>39</v>
      </c>
      <c r="C35" s="239"/>
      <c r="D35" s="239"/>
      <c r="E35" s="239"/>
      <c r="F35" s="239"/>
      <c r="G35" s="240"/>
      <c r="H35" s="29"/>
    </row>
    <row r="36" spans="1:8" ht="15.75" customHeight="1">
      <c r="A36" s="23" t="s">
        <v>58</v>
      </c>
      <c r="B36" s="212" t="s">
        <v>69</v>
      </c>
      <c r="C36" s="210"/>
      <c r="D36" s="210"/>
      <c r="E36" s="210"/>
      <c r="F36" s="210"/>
      <c r="G36" s="193"/>
      <c r="H36" s="30">
        <v>-58555.28</v>
      </c>
    </row>
    <row r="37" spans="1:8" ht="15.75" customHeight="1">
      <c r="A37" s="23" t="s">
        <v>59</v>
      </c>
      <c r="B37" s="212" t="s">
        <v>73</v>
      </c>
      <c r="C37" s="210"/>
      <c r="D37" s="210"/>
      <c r="E37" s="210"/>
      <c r="F37" s="210"/>
      <c r="G37" s="193"/>
      <c r="H37" s="45">
        <f>H13-H34</f>
        <v>-108278.33999999997</v>
      </c>
    </row>
    <row r="38" spans="1:8" ht="15.75" customHeight="1">
      <c r="A38" s="23" t="s">
        <v>60</v>
      </c>
      <c r="B38" s="212" t="s">
        <v>71</v>
      </c>
      <c r="C38" s="210"/>
      <c r="D38" s="210"/>
      <c r="E38" s="210"/>
      <c r="F38" s="210"/>
      <c r="G38" s="193"/>
      <c r="H38" s="45">
        <f>H36+H37</f>
        <v>-166833.61999999997</v>
      </c>
    </row>
    <row r="39" spans="2:6" ht="28.5" customHeight="1">
      <c r="B39" s="34"/>
      <c r="F39" s="34"/>
    </row>
    <row r="40" spans="1:8" ht="15.75" customHeight="1">
      <c r="A40" s="225" t="s">
        <v>78</v>
      </c>
      <c r="B40" s="225"/>
      <c r="C40" s="225"/>
      <c r="D40" s="225"/>
      <c r="E40" s="225"/>
      <c r="F40" s="225"/>
      <c r="G40" s="225"/>
      <c r="H40" s="225"/>
    </row>
    <row r="41" spans="1:3" ht="15.75">
      <c r="A41" s="34"/>
      <c r="B41" s="34"/>
      <c r="C41" s="34"/>
    </row>
    <row r="42" spans="1:3" ht="15.75">
      <c r="A42" s="36" t="s">
        <v>79</v>
      </c>
      <c r="B42" s="36"/>
      <c r="C42" s="36"/>
    </row>
    <row r="43" spans="1:7" ht="15.75" customHeight="1">
      <c r="A43" s="226" t="s">
        <v>85</v>
      </c>
      <c r="B43" s="226"/>
      <c r="C43" s="226"/>
      <c r="D43" s="226"/>
      <c r="E43" s="226"/>
      <c r="F43" s="226"/>
      <c r="G43" s="226"/>
    </row>
    <row r="44" spans="1:3" ht="15.75" customHeight="1">
      <c r="A44" s="218" t="s">
        <v>87</v>
      </c>
      <c r="B44" s="218"/>
      <c r="C44" s="218"/>
    </row>
  </sheetData>
  <mergeCells count="36">
    <mergeCell ref="B18:D18"/>
    <mergeCell ref="B11:F11"/>
    <mergeCell ref="B12:F12"/>
    <mergeCell ref="B31:D31"/>
    <mergeCell ref="B21:D21"/>
    <mergeCell ref="B22:D22"/>
    <mergeCell ref="B15:F15"/>
    <mergeCell ref="B38:G38"/>
    <mergeCell ref="B35:G35"/>
    <mergeCell ref="B33:D33"/>
    <mergeCell ref="B34:F34"/>
    <mergeCell ref="B36:G36"/>
    <mergeCell ref="B37:G37"/>
    <mergeCell ref="B32:D32"/>
    <mergeCell ref="B23:D23"/>
    <mergeCell ref="B24:D24"/>
    <mergeCell ref="B29:D29"/>
    <mergeCell ref="B30:D30"/>
    <mergeCell ref="B25:D25"/>
    <mergeCell ref="B26:D26"/>
    <mergeCell ref="B27:D27"/>
    <mergeCell ref="B28:D28"/>
    <mergeCell ref="B9:F9"/>
    <mergeCell ref="B16:F16"/>
    <mergeCell ref="A1:H1"/>
    <mergeCell ref="A2:H2"/>
    <mergeCell ref="A40:H40"/>
    <mergeCell ref="A43:G43"/>
    <mergeCell ref="A44:C44"/>
    <mergeCell ref="B7:D7"/>
    <mergeCell ref="B8:F8"/>
    <mergeCell ref="B19:D19"/>
    <mergeCell ref="B20:D20"/>
    <mergeCell ref="B10:F10"/>
    <mergeCell ref="B13:F13"/>
    <mergeCell ref="B14:F14"/>
  </mergeCells>
  <printOptions/>
  <pageMargins left="0" right="0" top="0" bottom="0" header="0.5118110236220472" footer="0.275590551181102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C32">
      <selection activeCell="J35" sqref="J35"/>
    </sheetView>
  </sheetViews>
  <sheetFormatPr defaultColWidth="9.00390625" defaultRowHeight="15.75"/>
  <cols>
    <col min="1" max="1" width="8.125" style="0" customWidth="1"/>
    <col min="2" max="2" width="26.25390625" style="0" customWidth="1"/>
    <col min="3" max="3" width="3.75390625" style="0" customWidth="1"/>
    <col min="4" max="4" width="24.875" style="0" customWidth="1"/>
    <col min="5" max="5" width="18.25390625" style="0" customWidth="1"/>
    <col min="6" max="6" width="20.875" style="93" hidden="1" customWidth="1"/>
    <col min="7" max="7" width="6.875" style="0" customWidth="1"/>
    <col min="8" max="9" width="12.875" style="0" customWidth="1"/>
    <col min="10" max="10" width="13.125" style="0" customWidth="1"/>
    <col min="11" max="11" width="10.00390625" style="0" bestFit="1" customWidth="1"/>
  </cols>
  <sheetData>
    <row r="1" spans="1:7" ht="102" customHeight="1">
      <c r="A1" s="219" t="s">
        <v>181</v>
      </c>
      <c r="B1" s="219"/>
      <c r="C1" s="219"/>
      <c r="D1" s="219"/>
      <c r="E1" s="219"/>
      <c r="F1" s="219"/>
      <c r="G1" s="219"/>
    </row>
    <row r="2" spans="1:7" ht="67.5" customHeight="1">
      <c r="A2" s="236" t="s">
        <v>180</v>
      </c>
      <c r="B2" s="236"/>
      <c r="C2" s="236"/>
      <c r="D2" s="236"/>
      <c r="E2" s="236"/>
      <c r="F2" s="236"/>
      <c r="G2" s="236"/>
    </row>
    <row r="3" spans="1:8" ht="18.75">
      <c r="A3" s="1" t="s">
        <v>80</v>
      </c>
      <c r="B3" s="1" t="s">
        <v>81</v>
      </c>
      <c r="C3" s="2"/>
      <c r="D3" s="2" t="s">
        <v>0</v>
      </c>
      <c r="E3" s="4">
        <v>2076.1</v>
      </c>
      <c r="F3" s="96"/>
      <c r="G3" s="96"/>
      <c r="H3" s="96">
        <v>398</v>
      </c>
    </row>
    <row r="4" spans="2:8" ht="15.75">
      <c r="B4" s="3" t="s">
        <v>1</v>
      </c>
      <c r="C4" s="37">
        <v>9</v>
      </c>
      <c r="D4" s="2" t="s">
        <v>2</v>
      </c>
      <c r="E4" s="4">
        <v>48</v>
      </c>
      <c r="F4"/>
      <c r="H4" t="s">
        <v>101</v>
      </c>
    </row>
    <row r="5" spans="2:8" ht="15.75">
      <c r="B5" s="3" t="s">
        <v>3</v>
      </c>
      <c r="C5" s="4">
        <v>1</v>
      </c>
      <c r="D5" s="2" t="s">
        <v>4</v>
      </c>
      <c r="E5" s="2" t="s">
        <v>17</v>
      </c>
      <c r="F5" s="2"/>
      <c r="G5" s="2"/>
      <c r="H5" s="2" t="s">
        <v>164</v>
      </c>
    </row>
    <row r="6" spans="2:8" ht="15.75">
      <c r="B6" s="3"/>
      <c r="C6" s="4"/>
      <c r="D6" s="2" t="s">
        <v>5</v>
      </c>
      <c r="E6" s="2" t="s">
        <v>16</v>
      </c>
      <c r="F6"/>
      <c r="H6" t="s">
        <v>165</v>
      </c>
    </row>
    <row r="7" spans="1:10" ht="42.75" customHeight="1">
      <c r="A7" s="22" t="s">
        <v>61</v>
      </c>
      <c r="B7" s="243" t="s">
        <v>166</v>
      </c>
      <c r="C7" s="244"/>
      <c r="D7" s="245"/>
      <c r="E7" s="11" t="s">
        <v>6</v>
      </c>
      <c r="F7" s="11" t="s">
        <v>7</v>
      </c>
      <c r="G7" s="33" t="s">
        <v>23</v>
      </c>
      <c r="H7" s="266" t="s">
        <v>189</v>
      </c>
      <c r="I7" s="267"/>
      <c r="J7" s="268"/>
    </row>
    <row r="8" spans="1:10" ht="15.75">
      <c r="A8" s="23">
        <v>1</v>
      </c>
      <c r="B8" s="228"/>
      <c r="C8" s="229"/>
      <c r="D8" s="229"/>
      <c r="E8" s="229"/>
      <c r="F8" s="230"/>
      <c r="G8" s="115"/>
      <c r="H8" s="116" t="s">
        <v>190</v>
      </c>
      <c r="I8" s="117" t="s">
        <v>191</v>
      </c>
      <c r="J8" s="117" t="s">
        <v>192</v>
      </c>
    </row>
    <row r="9" spans="1:10" ht="15.75" customHeight="1">
      <c r="A9" s="23"/>
      <c r="B9" s="228" t="s">
        <v>167</v>
      </c>
      <c r="C9" s="229"/>
      <c r="D9" s="229"/>
      <c r="E9" s="229"/>
      <c r="F9" s="230"/>
      <c r="G9" s="78"/>
      <c r="H9" s="126"/>
      <c r="I9" s="127"/>
      <c r="J9" s="128"/>
    </row>
    <row r="10" spans="1:10" ht="15.75" customHeight="1">
      <c r="A10" s="97"/>
      <c r="B10" s="246" t="s">
        <v>168</v>
      </c>
      <c r="C10" s="246"/>
      <c r="D10" s="246"/>
      <c r="E10" s="246"/>
      <c r="F10" s="246"/>
      <c r="G10" s="15"/>
      <c r="H10" s="129">
        <v>300494.72</v>
      </c>
      <c r="I10" s="130"/>
      <c r="J10" s="131">
        <f>H10+I10</f>
        <v>300494.72</v>
      </c>
    </row>
    <row r="11" spans="1:10" ht="15.75" customHeight="1">
      <c r="A11" s="97"/>
      <c r="B11" s="246" t="s">
        <v>169</v>
      </c>
      <c r="C11" s="246"/>
      <c r="D11" s="246"/>
      <c r="E11" s="246"/>
      <c r="F11" s="246"/>
      <c r="G11" s="15"/>
      <c r="H11" s="129">
        <v>14406.69</v>
      </c>
      <c r="I11" s="130"/>
      <c r="J11" s="131">
        <f>H11+I11</f>
        <v>14406.69</v>
      </c>
    </row>
    <row r="12" spans="1:10" ht="15.75">
      <c r="A12" s="23"/>
      <c r="B12" s="246" t="s">
        <v>170</v>
      </c>
      <c r="C12" s="246"/>
      <c r="D12" s="246"/>
      <c r="E12" s="246"/>
      <c r="F12" s="246"/>
      <c r="G12" s="15"/>
      <c r="H12" s="129"/>
      <c r="I12" s="130">
        <v>28696.2</v>
      </c>
      <c r="J12" s="131">
        <f>H12+I12</f>
        <v>28696.2</v>
      </c>
    </row>
    <row r="13" spans="1:10" ht="18.75" customHeight="1">
      <c r="A13" s="23"/>
      <c r="B13" s="246" t="s">
        <v>193</v>
      </c>
      <c r="C13" s="246"/>
      <c r="D13" s="246"/>
      <c r="E13" s="246"/>
      <c r="F13" s="246"/>
      <c r="G13" s="15"/>
      <c r="H13" s="129"/>
      <c r="I13" s="132">
        <v>1205300</v>
      </c>
      <c r="J13" s="131">
        <f>H13+I13</f>
        <v>1205300</v>
      </c>
    </row>
    <row r="14" spans="1:10" ht="15.75">
      <c r="A14" s="23"/>
      <c r="B14" s="233" t="s">
        <v>171</v>
      </c>
      <c r="C14" s="233"/>
      <c r="D14" s="233"/>
      <c r="E14" s="233"/>
      <c r="F14" s="233"/>
      <c r="G14" s="15"/>
      <c r="H14" s="133">
        <f>SUM(H10:H13)</f>
        <v>314901.41</v>
      </c>
      <c r="I14" s="134">
        <f>SUM(I10:I13)</f>
        <v>1233996.2</v>
      </c>
      <c r="J14" s="133">
        <f>SUM(J10:J13)</f>
        <v>1548897.6099999999</v>
      </c>
    </row>
    <row r="15" spans="1:10" ht="36.75" customHeight="1">
      <c r="A15" s="23">
        <v>2</v>
      </c>
      <c r="B15" s="234" t="s">
        <v>66</v>
      </c>
      <c r="C15" s="234"/>
      <c r="D15" s="234"/>
      <c r="E15" s="234"/>
      <c r="F15" s="234"/>
      <c r="G15" s="15"/>
      <c r="H15" s="129"/>
      <c r="I15" s="130"/>
      <c r="J15" s="135"/>
    </row>
    <row r="16" spans="1:10" ht="15.75" customHeight="1">
      <c r="A16" s="23" t="s">
        <v>145</v>
      </c>
      <c r="B16" s="19" t="s">
        <v>67</v>
      </c>
      <c r="C16" s="19"/>
      <c r="D16" s="19"/>
      <c r="E16" s="19"/>
      <c r="F16" s="5"/>
      <c r="G16" s="116"/>
      <c r="H16" s="136"/>
      <c r="I16" s="137"/>
      <c r="J16" s="128"/>
    </row>
    <row r="17" spans="1:10" ht="30.75" customHeight="1">
      <c r="A17" s="26"/>
      <c r="B17" s="248" t="s">
        <v>196</v>
      </c>
      <c r="C17" s="248"/>
      <c r="D17" s="248"/>
      <c r="E17" s="98" t="s">
        <v>33</v>
      </c>
      <c r="F17" s="80" t="s">
        <v>25</v>
      </c>
      <c r="G17" s="81">
        <v>1.06</v>
      </c>
      <c r="H17" s="138">
        <f>ROUND(G17*$E$3*12,2)</f>
        <v>26407.99</v>
      </c>
      <c r="I17" s="132">
        <f>$I$12*0.08</f>
        <v>2295.696</v>
      </c>
      <c r="J17" s="139">
        <f>SUM(H17:I17)</f>
        <v>28703.686</v>
      </c>
    </row>
    <row r="18" spans="1:10" ht="20.25" customHeight="1">
      <c r="A18" s="23"/>
      <c r="B18" s="249" t="s">
        <v>18</v>
      </c>
      <c r="C18" s="250"/>
      <c r="D18" s="251"/>
      <c r="E18" s="98" t="s">
        <v>33</v>
      </c>
      <c r="F18" s="80" t="s">
        <v>20</v>
      </c>
      <c r="G18" s="81">
        <v>0.26</v>
      </c>
      <c r="H18" s="138">
        <f>ROUND(G18*$E$3*12,2)</f>
        <v>6477.43</v>
      </c>
      <c r="I18" s="132">
        <f>$I$12*0.02</f>
        <v>573.924</v>
      </c>
      <c r="J18" s="139">
        <f>SUM(H18:I18)</f>
        <v>7051.354</v>
      </c>
    </row>
    <row r="19" spans="1:10" ht="29.25" customHeight="1">
      <c r="A19" s="23"/>
      <c r="B19" s="247" t="s">
        <v>24</v>
      </c>
      <c r="C19" s="247"/>
      <c r="D19" s="247"/>
      <c r="E19" s="99" t="s">
        <v>172</v>
      </c>
      <c r="F19" s="83" t="s">
        <v>21</v>
      </c>
      <c r="G19" s="81">
        <v>0.9</v>
      </c>
      <c r="H19" s="138">
        <f>J19-I19</f>
        <v>23407.396</v>
      </c>
      <c r="I19" s="132">
        <f>$I$12*0.07</f>
        <v>2008.7340000000002</v>
      </c>
      <c r="J19" s="139">
        <v>25416.13</v>
      </c>
    </row>
    <row r="20" spans="1:10" ht="20.25" customHeight="1">
      <c r="A20" s="26"/>
      <c r="B20" s="248" t="s">
        <v>32</v>
      </c>
      <c r="C20" s="248"/>
      <c r="D20" s="248"/>
      <c r="E20" s="100" t="s">
        <v>9</v>
      </c>
      <c r="F20" s="84" t="s">
        <v>10</v>
      </c>
      <c r="G20" s="81">
        <v>0.46</v>
      </c>
      <c r="H20" s="138">
        <f>ROUND(G20*$E$3*12,2)</f>
        <v>11460.07</v>
      </c>
      <c r="I20" s="132">
        <f>$I$12*0.04</f>
        <v>1147.848</v>
      </c>
      <c r="J20" s="139">
        <f aca="true" t="shared" si="0" ref="J20:J37">SUM(H20:I20)</f>
        <v>12607.918</v>
      </c>
    </row>
    <row r="21" spans="1:10" ht="66.75" customHeight="1">
      <c r="A21" s="23"/>
      <c r="B21" s="247" t="s">
        <v>28</v>
      </c>
      <c r="C21" s="247"/>
      <c r="D21" s="247"/>
      <c r="E21" s="99" t="s">
        <v>173</v>
      </c>
      <c r="F21" s="83" t="s">
        <v>26</v>
      </c>
      <c r="G21" s="81">
        <v>0.11</v>
      </c>
      <c r="H21" s="138">
        <f>J21-I21</f>
        <v>1535.188</v>
      </c>
      <c r="I21" s="132">
        <f>$I$12*0.01</f>
        <v>286.962</v>
      </c>
      <c r="J21" s="139">
        <v>1822.15</v>
      </c>
    </row>
    <row r="22" spans="1:10" ht="28.5" customHeight="1">
      <c r="A22" s="26"/>
      <c r="B22" s="247" t="s">
        <v>11</v>
      </c>
      <c r="C22" s="247"/>
      <c r="D22" s="247"/>
      <c r="E22" s="99" t="s">
        <v>9</v>
      </c>
      <c r="F22" s="83" t="s">
        <v>12</v>
      </c>
      <c r="G22" s="81">
        <v>1.93</v>
      </c>
      <c r="H22" s="138">
        <f>J22-I22</f>
        <v>43778.045999999995</v>
      </c>
      <c r="I22" s="132">
        <f>$I$12*0.15</f>
        <v>4304.43</v>
      </c>
      <c r="J22" s="138">
        <f>G22*E3*12</f>
        <v>48082.475999999995</v>
      </c>
    </row>
    <row r="23" spans="1:10" ht="26.25" customHeight="1">
      <c r="A23" s="26"/>
      <c r="B23" s="247" t="s">
        <v>27</v>
      </c>
      <c r="C23" s="252"/>
      <c r="D23" s="252"/>
      <c r="E23" s="101" t="s">
        <v>13</v>
      </c>
      <c r="F23" s="77" t="s">
        <v>14</v>
      </c>
      <c r="G23" s="81">
        <v>0.04</v>
      </c>
      <c r="H23" s="138">
        <f>J23-I23</f>
        <v>1177.3314</v>
      </c>
      <c r="I23" s="132">
        <f>$I$12*0.003</f>
        <v>86.0886</v>
      </c>
      <c r="J23" s="139">
        <v>1263.42</v>
      </c>
    </row>
    <row r="24" spans="1:10" ht="30" customHeight="1">
      <c r="A24" s="23"/>
      <c r="B24" s="247" t="s">
        <v>72</v>
      </c>
      <c r="C24" s="247"/>
      <c r="D24" s="247"/>
      <c r="E24" s="98" t="s">
        <v>36</v>
      </c>
      <c r="F24" s="83" t="s">
        <v>82</v>
      </c>
      <c r="G24" s="81">
        <v>1.87</v>
      </c>
      <c r="H24" s="138">
        <f aca="true" t="shared" si="1" ref="H24:H29">ROUND(G24*$E$3*12,2)</f>
        <v>46587.68</v>
      </c>
      <c r="I24" s="132">
        <f>$I$12*0.19</f>
        <v>5452.278</v>
      </c>
      <c r="J24" s="139">
        <f t="shared" si="0"/>
        <v>52039.958</v>
      </c>
    </row>
    <row r="25" spans="1:10" ht="26.25" customHeight="1">
      <c r="A25" s="23"/>
      <c r="B25" s="253" t="s">
        <v>15</v>
      </c>
      <c r="C25" s="253"/>
      <c r="D25" s="253"/>
      <c r="E25" s="98" t="s">
        <v>36</v>
      </c>
      <c r="F25" s="83" t="s">
        <v>82</v>
      </c>
      <c r="G25" s="81">
        <v>0.46</v>
      </c>
      <c r="H25" s="138">
        <f t="shared" si="1"/>
        <v>11460.07</v>
      </c>
      <c r="I25" s="132">
        <v>0</v>
      </c>
      <c r="J25" s="139">
        <f t="shared" si="0"/>
        <v>11460.07</v>
      </c>
    </row>
    <row r="26" spans="1:10" ht="28.5" customHeight="1">
      <c r="A26" s="23"/>
      <c r="B26" s="254" t="s">
        <v>37</v>
      </c>
      <c r="C26" s="255"/>
      <c r="D26" s="256"/>
      <c r="E26" s="98" t="s">
        <v>36</v>
      </c>
      <c r="F26" s="83" t="s">
        <v>82</v>
      </c>
      <c r="G26" s="102">
        <f>2.99-G27-G28</f>
        <v>2.74</v>
      </c>
      <c r="H26" s="138">
        <f t="shared" si="1"/>
        <v>68262.17</v>
      </c>
      <c r="I26" s="132">
        <f>$I$12*(0.18+0.02)</f>
        <v>5739.24</v>
      </c>
      <c r="J26" s="139">
        <f t="shared" si="0"/>
        <v>74001.41</v>
      </c>
    </row>
    <row r="27" spans="1:10" ht="27" customHeight="1">
      <c r="A27" s="26"/>
      <c r="B27" s="247" t="s">
        <v>174</v>
      </c>
      <c r="C27" s="247"/>
      <c r="D27" s="247"/>
      <c r="E27" s="98" t="s">
        <v>36</v>
      </c>
      <c r="F27" s="83" t="s">
        <v>82</v>
      </c>
      <c r="G27" s="102">
        <v>0.25</v>
      </c>
      <c r="H27" s="138">
        <f t="shared" si="1"/>
        <v>6228.3</v>
      </c>
      <c r="I27" s="132">
        <f>$I$12*0.02</f>
        <v>573.924</v>
      </c>
      <c r="J27" s="139">
        <f t="shared" si="0"/>
        <v>6802.224</v>
      </c>
    </row>
    <row r="28" spans="1:11" ht="31.5" customHeight="1">
      <c r="A28" s="23"/>
      <c r="B28" s="247" t="s">
        <v>175</v>
      </c>
      <c r="C28" s="247"/>
      <c r="D28" s="247"/>
      <c r="E28" s="99" t="s">
        <v>9</v>
      </c>
      <c r="F28" s="119" t="s">
        <v>183</v>
      </c>
      <c r="G28" s="102">
        <v>0</v>
      </c>
      <c r="H28" s="138">
        <f t="shared" si="1"/>
        <v>0</v>
      </c>
      <c r="I28" s="132">
        <v>0</v>
      </c>
      <c r="J28" s="139">
        <f t="shared" si="0"/>
        <v>0</v>
      </c>
      <c r="K28" s="103"/>
    </row>
    <row r="29" spans="1:10" ht="15" customHeight="1">
      <c r="A29" s="23"/>
      <c r="B29" s="252" t="s">
        <v>22</v>
      </c>
      <c r="C29" s="252"/>
      <c r="D29" s="252"/>
      <c r="E29" s="99" t="s">
        <v>9</v>
      </c>
      <c r="F29" s="83" t="s">
        <v>82</v>
      </c>
      <c r="G29" s="77">
        <v>1.26</v>
      </c>
      <c r="H29" s="138">
        <f t="shared" si="1"/>
        <v>31390.63</v>
      </c>
      <c r="I29" s="132">
        <f>$I$12*0.1</f>
        <v>2869.6200000000003</v>
      </c>
      <c r="J29" s="134">
        <f t="shared" si="0"/>
        <v>34260.25</v>
      </c>
    </row>
    <row r="30" spans="1:10" ht="14.25" customHeight="1">
      <c r="A30" s="23"/>
      <c r="B30" s="259" t="s">
        <v>194</v>
      </c>
      <c r="C30" s="260"/>
      <c r="D30" s="261"/>
      <c r="E30" s="99" t="s">
        <v>9</v>
      </c>
      <c r="F30" s="119"/>
      <c r="G30" s="77"/>
      <c r="H30" s="138"/>
      <c r="I30" s="132"/>
      <c r="J30" s="140"/>
    </row>
    <row r="31" spans="1:10" ht="25.5">
      <c r="A31" s="23"/>
      <c r="B31" s="259" t="s">
        <v>195</v>
      </c>
      <c r="C31" s="260"/>
      <c r="D31" s="261"/>
      <c r="E31" s="98" t="s">
        <v>36</v>
      </c>
      <c r="F31" s="119"/>
      <c r="G31" s="77"/>
      <c r="H31" s="138"/>
      <c r="I31" s="132"/>
      <c r="J31" s="140"/>
    </row>
    <row r="32" spans="1:10" ht="15" customHeight="1">
      <c r="A32" s="23"/>
      <c r="B32" s="262"/>
      <c r="C32" s="255"/>
      <c r="D32" s="256"/>
      <c r="E32" s="99"/>
      <c r="F32" s="119"/>
      <c r="G32" s="77"/>
      <c r="H32" s="138"/>
      <c r="I32" s="132"/>
      <c r="J32" s="140"/>
    </row>
    <row r="33" spans="1:10" ht="15.75" customHeight="1">
      <c r="A33" s="23"/>
      <c r="B33" s="262"/>
      <c r="C33" s="255"/>
      <c r="D33" s="256"/>
      <c r="E33" s="99"/>
      <c r="F33" s="119"/>
      <c r="G33" s="77"/>
      <c r="H33" s="138"/>
      <c r="I33" s="132"/>
      <c r="J33" s="140"/>
    </row>
    <row r="34" spans="1:10" ht="15.75">
      <c r="A34" s="23"/>
      <c r="B34" s="237" t="s">
        <v>31</v>
      </c>
      <c r="C34" s="237"/>
      <c r="D34" s="237"/>
      <c r="E34" s="14"/>
      <c r="F34" s="119"/>
      <c r="G34" s="21">
        <f>SUM(G17:G29)</f>
        <v>11.34</v>
      </c>
      <c r="H34" s="141">
        <f>SUM(H17:H33)</f>
        <v>278172.3014</v>
      </c>
      <c r="I34" s="142">
        <f>SUM(I17:I33)</f>
        <v>25338.744599999998</v>
      </c>
      <c r="J34" s="141">
        <f>SUM(J17:J33)</f>
        <v>303511.04600000003</v>
      </c>
    </row>
    <row r="35" spans="1:10" ht="26.25" customHeight="1">
      <c r="A35" s="23" t="s">
        <v>147</v>
      </c>
      <c r="B35" s="269" t="s">
        <v>176</v>
      </c>
      <c r="C35" s="270"/>
      <c r="D35" s="270"/>
      <c r="E35" s="271"/>
      <c r="F35" s="83" t="s">
        <v>82</v>
      </c>
      <c r="G35" s="24">
        <f>H35/E3/12</f>
        <v>1.371562063484418</v>
      </c>
      <c r="H35" s="142">
        <v>34170</v>
      </c>
      <c r="I35" s="139">
        <v>0</v>
      </c>
      <c r="J35" s="133">
        <f t="shared" si="0"/>
        <v>34170</v>
      </c>
    </row>
    <row r="36" spans="1:10" ht="18.75">
      <c r="A36" s="25"/>
      <c r="B36" s="258" t="s">
        <v>70</v>
      </c>
      <c r="C36" s="258"/>
      <c r="D36" s="258"/>
      <c r="E36" s="258"/>
      <c r="F36" s="258"/>
      <c r="G36" s="5">
        <f>SUM(G34:G35)</f>
        <v>12.711562063484418</v>
      </c>
      <c r="H36" s="143">
        <f>SUM(H34:H35)</f>
        <v>312342.3014</v>
      </c>
      <c r="I36" s="144">
        <f>SUM(I34:I35)</f>
        <v>25338.744599999998</v>
      </c>
      <c r="J36" s="143">
        <f>SUM(J34:J35)</f>
        <v>337681.04600000003</v>
      </c>
    </row>
    <row r="37" spans="1:10" ht="15.75">
      <c r="A37" s="23" t="s">
        <v>148</v>
      </c>
      <c r="B37" s="257" t="s">
        <v>177</v>
      </c>
      <c r="C37" s="257"/>
      <c r="D37" s="257"/>
      <c r="E37" s="257"/>
      <c r="F37" s="257"/>
      <c r="G37" s="120"/>
      <c r="H37" s="145"/>
      <c r="I37" s="145">
        <v>0</v>
      </c>
      <c r="J37" s="140">
        <f t="shared" si="0"/>
        <v>0</v>
      </c>
    </row>
    <row r="38" spans="1:10" ht="15.75" customHeight="1">
      <c r="A38" s="25"/>
      <c r="B38" s="258" t="s">
        <v>178</v>
      </c>
      <c r="C38" s="258"/>
      <c r="D38" s="258"/>
      <c r="E38" s="258"/>
      <c r="F38" s="258"/>
      <c r="G38" s="5">
        <f>SUM(G36:G37)</f>
        <v>12.711562063484418</v>
      </c>
      <c r="H38" s="143">
        <f>SUM(H36:H37)</f>
        <v>312342.3014</v>
      </c>
      <c r="I38" s="144">
        <f>SUM(I36:I37)</f>
        <v>25338.744599999998</v>
      </c>
      <c r="J38" s="143">
        <f>SUM(J36:J37)</f>
        <v>337681.04600000003</v>
      </c>
    </row>
    <row r="39" spans="1:10" ht="15.75" customHeight="1">
      <c r="A39" s="23">
        <v>3</v>
      </c>
      <c r="B39" s="263" t="s">
        <v>179</v>
      </c>
      <c r="C39" s="264"/>
      <c r="D39" s="264"/>
      <c r="E39" s="264"/>
      <c r="F39" s="264"/>
      <c r="G39" s="265"/>
      <c r="H39" s="146">
        <f>H14-H38</f>
        <v>2559.1085999999777</v>
      </c>
      <c r="I39" s="138">
        <f>I14-I38</f>
        <v>1208657.4553999999</v>
      </c>
      <c r="J39" s="147">
        <f>J14-J38</f>
        <v>1211216.5639999998</v>
      </c>
    </row>
    <row r="41" spans="1:5" ht="15.75">
      <c r="A41" s="34" t="s">
        <v>142</v>
      </c>
      <c r="E41" s="34" t="s">
        <v>143</v>
      </c>
    </row>
    <row r="43" spans="1:3" ht="15.75">
      <c r="A43" s="121" t="s">
        <v>199</v>
      </c>
      <c r="B43" s="121"/>
      <c r="C43" s="71"/>
    </row>
    <row r="44" spans="1:3" ht="15.75">
      <c r="A44" s="218" t="s">
        <v>87</v>
      </c>
      <c r="B44" s="218"/>
      <c r="C44" s="218"/>
    </row>
  </sheetData>
  <mergeCells count="36">
    <mergeCell ref="B39:G39"/>
    <mergeCell ref="A44:C44"/>
    <mergeCell ref="H7:J7"/>
    <mergeCell ref="B8:F8"/>
    <mergeCell ref="B9:F9"/>
    <mergeCell ref="B10:F10"/>
    <mergeCell ref="B33:D33"/>
    <mergeCell ref="B34:D34"/>
    <mergeCell ref="B35:E35"/>
    <mergeCell ref="B36:F36"/>
    <mergeCell ref="B38:F38"/>
    <mergeCell ref="B29:D29"/>
    <mergeCell ref="B30:D30"/>
    <mergeCell ref="B31:D31"/>
    <mergeCell ref="B32:D32"/>
    <mergeCell ref="B26:D26"/>
    <mergeCell ref="B27:D27"/>
    <mergeCell ref="B28:D28"/>
    <mergeCell ref="B37:F37"/>
    <mergeCell ref="B22:D22"/>
    <mergeCell ref="B23:D23"/>
    <mergeCell ref="B24:D24"/>
    <mergeCell ref="B25:D25"/>
    <mergeCell ref="B19:D19"/>
    <mergeCell ref="B20:D20"/>
    <mergeCell ref="B21:D21"/>
    <mergeCell ref="B17:D17"/>
    <mergeCell ref="B18:D18"/>
    <mergeCell ref="B14:F14"/>
    <mergeCell ref="B15:F15"/>
    <mergeCell ref="B11:F11"/>
    <mergeCell ref="B12:F12"/>
    <mergeCell ref="A1:G1"/>
    <mergeCell ref="A2:G2"/>
    <mergeCell ref="B7:D7"/>
    <mergeCell ref="B13:F13"/>
  </mergeCells>
  <printOptions/>
  <pageMargins left="0.44" right="0" top="0" bottom="0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3.75390625" style="0" customWidth="1"/>
    <col min="5" max="5" width="18.00390625" style="0" customWidth="1"/>
    <col min="6" max="6" width="22.125" style="0" hidden="1" customWidth="1"/>
    <col min="7" max="7" width="9.375" style="109" hidden="1" customWidth="1"/>
    <col min="8" max="8" width="13.125" style="0" customWidth="1"/>
    <col min="9" max="9" width="9.875" style="0" bestFit="1" customWidth="1"/>
  </cols>
  <sheetData>
    <row r="1" spans="1:8" ht="102.75" customHeight="1">
      <c r="A1" s="235" t="s">
        <v>200</v>
      </c>
      <c r="B1" s="235"/>
      <c r="C1" s="235"/>
      <c r="D1" s="235"/>
      <c r="E1" s="235"/>
      <c r="F1" s="235"/>
      <c r="G1" s="235"/>
      <c r="H1" s="235"/>
    </row>
    <row r="2" spans="1:6" ht="18.75">
      <c r="A2" s="1" t="s">
        <v>80</v>
      </c>
      <c r="B2" s="1" t="s">
        <v>81</v>
      </c>
      <c r="C2" s="2"/>
      <c r="D2" s="2" t="s">
        <v>0</v>
      </c>
      <c r="E2" s="4">
        <v>2076.1</v>
      </c>
      <c r="F2" s="2"/>
    </row>
    <row r="3" spans="2:6" ht="15.75">
      <c r="B3" s="3" t="s">
        <v>1</v>
      </c>
      <c r="C3" s="37">
        <v>9</v>
      </c>
      <c r="D3" s="2" t="s">
        <v>2</v>
      </c>
      <c r="E3" s="4">
        <v>48</v>
      </c>
      <c r="F3" s="2"/>
    </row>
    <row r="4" spans="2:7" ht="15.75">
      <c r="B4" s="3" t="s">
        <v>3</v>
      </c>
      <c r="C4" s="4">
        <v>1</v>
      </c>
      <c r="D4" s="2" t="s">
        <v>4</v>
      </c>
      <c r="E4" s="2" t="s">
        <v>17</v>
      </c>
      <c r="F4" s="2"/>
      <c r="G4" s="110"/>
    </row>
    <row r="5" spans="2:7" ht="16.5" thickBot="1">
      <c r="B5" s="3"/>
      <c r="C5" s="4"/>
      <c r="D5" s="2" t="s">
        <v>5</v>
      </c>
      <c r="E5" s="2" t="s">
        <v>16</v>
      </c>
      <c r="F5" s="2"/>
      <c r="G5" s="110"/>
    </row>
    <row r="6" spans="1:8" ht="61.5" customHeight="1">
      <c r="A6" s="72" t="s">
        <v>61</v>
      </c>
      <c r="B6" s="272" t="s">
        <v>166</v>
      </c>
      <c r="C6" s="273"/>
      <c r="D6" s="274"/>
      <c r="E6" s="73" t="s">
        <v>6</v>
      </c>
      <c r="F6" s="73" t="s">
        <v>7</v>
      </c>
      <c r="G6" s="122" t="s">
        <v>135</v>
      </c>
      <c r="H6" s="74" t="s">
        <v>136</v>
      </c>
    </row>
    <row r="7" spans="1:8" ht="15.75" customHeight="1">
      <c r="A7" s="75">
        <v>1</v>
      </c>
      <c r="B7" s="275" t="s">
        <v>137</v>
      </c>
      <c r="C7" s="275"/>
      <c r="D7" s="275"/>
      <c r="E7" s="275"/>
      <c r="F7" s="275"/>
      <c r="G7" s="118"/>
      <c r="H7" s="76"/>
    </row>
    <row r="8" spans="1:8" ht="15.75" customHeight="1">
      <c r="A8" s="75"/>
      <c r="B8" s="233" t="s">
        <v>182</v>
      </c>
      <c r="C8" s="233"/>
      <c r="D8" s="233"/>
      <c r="E8" s="233"/>
      <c r="F8" s="233"/>
      <c r="G8" s="24">
        <f>G27</f>
        <v>14.489999999999997</v>
      </c>
      <c r="H8" s="76">
        <f>ROUND($E$2*G8*12,0)</f>
        <v>360992</v>
      </c>
    </row>
    <row r="9" spans="1:8" ht="15.75" customHeight="1">
      <c r="A9" s="75"/>
      <c r="B9" s="278" t="s">
        <v>138</v>
      </c>
      <c r="C9" s="278"/>
      <c r="D9" s="278"/>
      <c r="E9" s="278"/>
      <c r="F9" s="278"/>
      <c r="G9" s="24">
        <v>0.76</v>
      </c>
      <c r="H9" s="76">
        <f>ROUND($E$2*G9*12,0)</f>
        <v>18934</v>
      </c>
    </row>
    <row r="10" spans="1:8" ht="15.75" customHeight="1">
      <c r="A10" s="75">
        <v>2</v>
      </c>
      <c r="B10" s="234" t="s">
        <v>66</v>
      </c>
      <c r="C10" s="234"/>
      <c r="D10" s="234"/>
      <c r="E10" s="234"/>
      <c r="F10" s="234"/>
      <c r="G10" s="81"/>
      <c r="H10" s="76"/>
    </row>
    <row r="11" spans="1:8" ht="18.75" customHeight="1">
      <c r="A11" s="75" t="s">
        <v>145</v>
      </c>
      <c r="B11" s="19" t="s">
        <v>67</v>
      </c>
      <c r="C11" s="19"/>
      <c r="D11" s="19"/>
      <c r="E11" s="19"/>
      <c r="F11" s="5"/>
      <c r="G11" s="113"/>
      <c r="H11" s="76"/>
    </row>
    <row r="12" spans="1:8" ht="31.5" customHeight="1">
      <c r="A12" s="79" t="s">
        <v>146</v>
      </c>
      <c r="B12" s="276" t="s">
        <v>197</v>
      </c>
      <c r="C12" s="276"/>
      <c r="D12" s="276"/>
      <c r="E12" s="98" t="s">
        <v>33</v>
      </c>
      <c r="F12" s="80" t="s">
        <v>25</v>
      </c>
      <c r="G12" s="81">
        <v>1.22</v>
      </c>
      <c r="H12" s="82">
        <f aca="true" t="shared" si="0" ref="H12:H27">ROUND($E$2*G12*12,0)</f>
        <v>30394</v>
      </c>
    </row>
    <row r="13" spans="1:9" ht="15.75" customHeight="1">
      <c r="A13" s="79"/>
      <c r="B13" s="276" t="s">
        <v>18</v>
      </c>
      <c r="C13" s="276"/>
      <c r="D13" s="276"/>
      <c r="E13" s="98" t="s">
        <v>33</v>
      </c>
      <c r="F13" s="80" t="s">
        <v>20</v>
      </c>
      <c r="G13" s="81">
        <v>0.28</v>
      </c>
      <c r="H13" s="82">
        <f t="shared" si="0"/>
        <v>6976</v>
      </c>
      <c r="I13" s="31"/>
    </row>
    <row r="14" spans="1:8" ht="18.75" customHeight="1">
      <c r="A14" s="79"/>
      <c r="B14" s="277" t="s">
        <v>24</v>
      </c>
      <c r="C14" s="277"/>
      <c r="D14" s="277"/>
      <c r="E14" s="99" t="s">
        <v>172</v>
      </c>
      <c r="F14" s="83" t="s">
        <v>21</v>
      </c>
      <c r="G14" s="81">
        <v>0.99</v>
      </c>
      <c r="H14" s="82">
        <f t="shared" si="0"/>
        <v>24664</v>
      </c>
    </row>
    <row r="15" spans="1:8" ht="15.75" customHeight="1">
      <c r="A15" s="79"/>
      <c r="B15" s="290" t="s">
        <v>32</v>
      </c>
      <c r="C15" s="290"/>
      <c r="D15" s="290"/>
      <c r="E15" s="100" t="s">
        <v>9</v>
      </c>
      <c r="F15" s="84" t="s">
        <v>10</v>
      </c>
      <c r="G15" s="81">
        <v>0.51</v>
      </c>
      <c r="H15" s="82">
        <f t="shared" si="0"/>
        <v>12706</v>
      </c>
    </row>
    <row r="16" spans="1:8" ht="62.25" customHeight="1">
      <c r="A16" s="79"/>
      <c r="B16" s="277" t="s">
        <v>28</v>
      </c>
      <c r="C16" s="277"/>
      <c r="D16" s="277"/>
      <c r="E16" s="99" t="s">
        <v>173</v>
      </c>
      <c r="F16" s="83" t="s">
        <v>26</v>
      </c>
      <c r="G16" s="81">
        <v>0.12</v>
      </c>
      <c r="H16" s="82">
        <f t="shared" si="0"/>
        <v>2990</v>
      </c>
    </row>
    <row r="17" spans="1:8" ht="42.75" customHeight="1">
      <c r="A17" s="79"/>
      <c r="B17" s="277" t="s">
        <v>11</v>
      </c>
      <c r="C17" s="277"/>
      <c r="D17" s="277"/>
      <c r="E17" s="99" t="s">
        <v>9</v>
      </c>
      <c r="F17" s="83" t="s">
        <v>12</v>
      </c>
      <c r="G17" s="81">
        <v>2.22</v>
      </c>
      <c r="H17" s="82">
        <f t="shared" si="0"/>
        <v>55307</v>
      </c>
    </row>
    <row r="18" spans="1:8" ht="30" customHeight="1">
      <c r="A18" s="79"/>
      <c r="B18" s="277" t="s">
        <v>27</v>
      </c>
      <c r="C18" s="282"/>
      <c r="D18" s="282"/>
      <c r="E18" s="101" t="s">
        <v>13</v>
      </c>
      <c r="F18" s="77" t="s">
        <v>139</v>
      </c>
      <c r="G18" s="81">
        <v>0.05</v>
      </c>
      <c r="H18" s="82">
        <f t="shared" si="0"/>
        <v>1246</v>
      </c>
    </row>
    <row r="19" spans="1:8" ht="33" customHeight="1">
      <c r="A19" s="79"/>
      <c r="B19" s="277" t="s">
        <v>72</v>
      </c>
      <c r="C19" s="277"/>
      <c r="D19" s="277"/>
      <c r="E19" s="98" t="s">
        <v>36</v>
      </c>
      <c r="F19" s="83" t="s">
        <v>82</v>
      </c>
      <c r="G19" s="81">
        <v>2.15</v>
      </c>
      <c r="H19" s="82">
        <f t="shared" si="0"/>
        <v>53563</v>
      </c>
    </row>
    <row r="20" spans="1:8" ht="51">
      <c r="A20" s="79"/>
      <c r="B20" s="276" t="s">
        <v>15</v>
      </c>
      <c r="C20" s="276"/>
      <c r="D20" s="276"/>
      <c r="E20" s="98" t="s">
        <v>140</v>
      </c>
      <c r="F20" s="83" t="s">
        <v>82</v>
      </c>
      <c r="G20" s="81">
        <v>0.53</v>
      </c>
      <c r="H20" s="82">
        <f t="shared" si="0"/>
        <v>13204</v>
      </c>
    </row>
    <row r="21" spans="1:8" ht="29.25" customHeight="1">
      <c r="A21" s="79"/>
      <c r="B21" s="277" t="s">
        <v>37</v>
      </c>
      <c r="C21" s="282"/>
      <c r="D21" s="282"/>
      <c r="E21" s="98" t="s">
        <v>36</v>
      </c>
      <c r="F21" s="83" t="s">
        <v>82</v>
      </c>
      <c r="G21" s="81">
        <f>3.52-G22-G23</f>
        <v>3.23</v>
      </c>
      <c r="H21" s="82">
        <f t="shared" si="0"/>
        <v>80470</v>
      </c>
    </row>
    <row r="22" spans="1:8" ht="37.5" customHeight="1">
      <c r="A22" s="79"/>
      <c r="B22" s="277" t="s">
        <v>184</v>
      </c>
      <c r="C22" s="277"/>
      <c r="D22" s="277"/>
      <c r="E22" s="99" t="s">
        <v>9</v>
      </c>
      <c r="F22" s="83" t="s">
        <v>82</v>
      </c>
      <c r="G22" s="81">
        <v>0.29</v>
      </c>
      <c r="H22" s="82">
        <f t="shared" si="0"/>
        <v>7225</v>
      </c>
    </row>
    <row r="23" spans="1:8" ht="36.75" customHeight="1">
      <c r="A23" s="79"/>
      <c r="B23" s="277" t="s">
        <v>175</v>
      </c>
      <c r="C23" s="277"/>
      <c r="D23" s="277"/>
      <c r="E23" s="99" t="s">
        <v>9</v>
      </c>
      <c r="F23" s="83" t="s">
        <v>82</v>
      </c>
      <c r="G23" s="81">
        <v>0</v>
      </c>
      <c r="H23" s="82">
        <f t="shared" si="0"/>
        <v>0</v>
      </c>
    </row>
    <row r="24" spans="1:8" ht="25.5">
      <c r="A24" s="79"/>
      <c r="B24" s="282" t="s">
        <v>22</v>
      </c>
      <c r="C24" s="282"/>
      <c r="D24" s="282"/>
      <c r="E24" s="98" t="s">
        <v>36</v>
      </c>
      <c r="F24" s="83" t="s">
        <v>82</v>
      </c>
      <c r="G24" s="81">
        <v>1.45</v>
      </c>
      <c r="H24" s="82">
        <f t="shared" si="0"/>
        <v>36124</v>
      </c>
    </row>
    <row r="25" spans="1:8" ht="15.75">
      <c r="A25" s="79"/>
      <c r="B25" s="283" t="s">
        <v>31</v>
      </c>
      <c r="C25" s="284"/>
      <c r="D25" s="285"/>
      <c r="E25" s="14"/>
      <c r="F25" s="83"/>
      <c r="G25" s="21">
        <f>SUM(G12:G24)</f>
        <v>13.039999999999997</v>
      </c>
      <c r="H25" s="82">
        <f t="shared" si="0"/>
        <v>324868</v>
      </c>
    </row>
    <row r="26" spans="1:8" ht="31.5" customHeight="1">
      <c r="A26" s="75" t="s">
        <v>147</v>
      </c>
      <c r="B26" s="269" t="s">
        <v>185</v>
      </c>
      <c r="C26" s="270"/>
      <c r="D26" s="270"/>
      <c r="E26" s="271"/>
      <c r="F26" s="27" t="s">
        <v>83</v>
      </c>
      <c r="G26" s="24">
        <v>1.45</v>
      </c>
      <c r="H26" s="82">
        <f t="shared" si="0"/>
        <v>36124</v>
      </c>
    </row>
    <row r="27" spans="1:8" ht="15.75" customHeight="1">
      <c r="A27" s="75"/>
      <c r="B27" s="286" t="s">
        <v>186</v>
      </c>
      <c r="C27" s="286"/>
      <c r="D27" s="286"/>
      <c r="E27" s="286"/>
      <c r="F27" s="286"/>
      <c r="G27" s="21">
        <f>SUM(G25:G26)</f>
        <v>14.489999999999997</v>
      </c>
      <c r="H27" s="104">
        <f t="shared" si="0"/>
        <v>360992</v>
      </c>
    </row>
    <row r="28" spans="1:8" ht="16.5" thickBot="1">
      <c r="A28" s="105">
        <v>3</v>
      </c>
      <c r="B28" s="287" t="s">
        <v>187</v>
      </c>
      <c r="C28" s="288"/>
      <c r="D28" s="289"/>
      <c r="E28" s="106"/>
      <c r="F28" s="107" t="s">
        <v>83</v>
      </c>
      <c r="G28" s="114">
        <v>0.76</v>
      </c>
      <c r="H28" s="108">
        <f>ROUND($E$2*G28*12,0)</f>
        <v>18934</v>
      </c>
    </row>
    <row r="29" spans="1:8" ht="19.5" thickBot="1">
      <c r="A29" s="85">
        <v>3</v>
      </c>
      <c r="B29" s="279" t="s">
        <v>141</v>
      </c>
      <c r="C29" s="280"/>
      <c r="D29" s="281"/>
      <c r="E29" s="86"/>
      <c r="F29" s="87" t="s">
        <v>83</v>
      </c>
      <c r="G29" s="124">
        <v>0.76</v>
      </c>
      <c r="H29" s="88">
        <f>ROUND($E$2*G29*12,0)</f>
        <v>18934</v>
      </c>
    </row>
    <row r="30" spans="1:8" ht="18.75">
      <c r="A30" s="89"/>
      <c r="B30" s="90"/>
      <c r="C30" s="90"/>
      <c r="D30" s="90"/>
      <c r="E30" s="90"/>
      <c r="F30" s="91"/>
      <c r="G30" s="111"/>
      <c r="H30" s="92"/>
    </row>
    <row r="31" spans="2:8" ht="15.75" customHeight="1">
      <c r="B31" s="34" t="s">
        <v>142</v>
      </c>
      <c r="F31" s="34" t="s">
        <v>143</v>
      </c>
      <c r="G31" s="125" t="s">
        <v>143</v>
      </c>
      <c r="H31" s="94"/>
    </row>
    <row r="32" spans="7:8" ht="15.75">
      <c r="G32" s="112"/>
      <c r="H32" s="94"/>
    </row>
    <row r="33" spans="6:8" ht="15.75">
      <c r="F33" t="s">
        <v>144</v>
      </c>
      <c r="G33" s="112"/>
      <c r="H33" s="94"/>
    </row>
    <row r="34" spans="7:8" ht="15.75" customHeight="1">
      <c r="G34" s="112"/>
      <c r="H34" s="94"/>
    </row>
    <row r="35" spans="7:8" ht="15.75" customHeight="1">
      <c r="G35" s="112"/>
      <c r="H35" s="94"/>
    </row>
    <row r="36" spans="7:8" ht="15.75" customHeight="1">
      <c r="G36" s="112"/>
      <c r="H36" s="94"/>
    </row>
    <row r="37" spans="2:6" ht="18" customHeight="1">
      <c r="B37" s="34"/>
      <c r="F37" s="34"/>
    </row>
  </sheetData>
  <mergeCells count="24">
    <mergeCell ref="B19:D19"/>
    <mergeCell ref="B15:D15"/>
    <mergeCell ref="B16:D16"/>
    <mergeCell ref="B17:D17"/>
    <mergeCell ref="B18:D18"/>
    <mergeCell ref="B29:D29"/>
    <mergeCell ref="B24:D24"/>
    <mergeCell ref="B25:D25"/>
    <mergeCell ref="B20:D20"/>
    <mergeCell ref="B21:D21"/>
    <mergeCell ref="B22:D22"/>
    <mergeCell ref="B23:D23"/>
    <mergeCell ref="B26:E26"/>
    <mergeCell ref="B27:F27"/>
    <mergeCell ref="B28:D28"/>
    <mergeCell ref="B14:D14"/>
    <mergeCell ref="B8:F8"/>
    <mergeCell ref="B9:F9"/>
    <mergeCell ref="B10:F10"/>
    <mergeCell ref="B12:D12"/>
    <mergeCell ref="A1:H1"/>
    <mergeCell ref="B6:D6"/>
    <mergeCell ref="B7:F7"/>
    <mergeCell ref="B13:D13"/>
  </mergeCells>
  <printOptions/>
  <pageMargins left="0.97" right="0" top="0" bottom="0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9">
      <selection activeCell="B12" sqref="B12:F12"/>
    </sheetView>
  </sheetViews>
  <sheetFormatPr defaultColWidth="9.00390625" defaultRowHeight="15.75"/>
  <cols>
    <col min="1" max="1" width="8.125" style="0" customWidth="1"/>
    <col min="2" max="2" width="26.25390625" style="0" customWidth="1"/>
    <col min="3" max="3" width="3.75390625" style="0" customWidth="1"/>
    <col min="4" max="4" width="18.50390625" style="0" customWidth="1"/>
    <col min="5" max="5" width="15.25390625" style="0" customWidth="1"/>
    <col min="6" max="6" width="20.875" style="93" hidden="1" customWidth="1"/>
    <col min="7" max="7" width="6.75390625" style="0" bestFit="1" customWidth="1"/>
    <col min="8" max="8" width="12.875" style="0" customWidth="1"/>
    <col min="9" max="9" width="12.375" style="0" customWidth="1"/>
    <col min="10" max="10" width="13.125" style="0" customWidth="1"/>
    <col min="11" max="11" width="10.00390625" style="0" bestFit="1" customWidth="1"/>
  </cols>
  <sheetData>
    <row r="1" spans="1:10" ht="99.75" customHeight="1">
      <c r="A1" s="219" t="s">
        <v>216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55.5" customHeight="1">
      <c r="A2" s="291" t="s">
        <v>223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8" ht="18.75">
      <c r="A3" s="1" t="s">
        <v>80</v>
      </c>
      <c r="B3" s="1" t="s">
        <v>81</v>
      </c>
      <c r="C3" s="2"/>
      <c r="D3" s="2" t="s">
        <v>0</v>
      </c>
      <c r="E3" s="4">
        <v>2076.1</v>
      </c>
      <c r="F3" s="96"/>
      <c r="G3" s="96"/>
      <c r="H3" s="96">
        <v>398</v>
      </c>
    </row>
    <row r="4" spans="2:8" ht="15.75">
      <c r="B4" s="3" t="s">
        <v>1</v>
      </c>
      <c r="C4" s="37">
        <v>9</v>
      </c>
      <c r="D4" s="2" t="s">
        <v>2</v>
      </c>
      <c r="E4" s="4">
        <v>48</v>
      </c>
      <c r="F4"/>
      <c r="H4" t="s">
        <v>101</v>
      </c>
    </row>
    <row r="5" spans="2:8" ht="15.75">
      <c r="B5" s="3" t="s">
        <v>3</v>
      </c>
      <c r="C5" s="4">
        <v>1</v>
      </c>
      <c r="D5" s="2" t="s">
        <v>4</v>
      </c>
      <c r="E5" s="2" t="s">
        <v>17</v>
      </c>
      <c r="F5" s="2"/>
      <c r="G5" s="2"/>
      <c r="H5" s="2" t="s">
        <v>164</v>
      </c>
    </row>
    <row r="6" spans="2:8" ht="15.75">
      <c r="B6" s="3"/>
      <c r="C6" s="4"/>
      <c r="D6" s="2" t="s">
        <v>5</v>
      </c>
      <c r="E6" s="2" t="s">
        <v>16</v>
      </c>
      <c r="F6"/>
      <c r="H6" t="s">
        <v>165</v>
      </c>
    </row>
    <row r="7" spans="1:10" ht="42" customHeight="1">
      <c r="A7" s="22" t="s">
        <v>61</v>
      </c>
      <c r="B7" s="243" t="s">
        <v>166</v>
      </c>
      <c r="C7" s="244"/>
      <c r="D7" s="245"/>
      <c r="E7" s="11" t="s">
        <v>6</v>
      </c>
      <c r="F7" s="11" t="s">
        <v>7</v>
      </c>
      <c r="G7" s="33" t="s">
        <v>23</v>
      </c>
      <c r="H7" s="266" t="s">
        <v>189</v>
      </c>
      <c r="I7" s="267"/>
      <c r="J7" s="268"/>
    </row>
    <row r="8" spans="1:10" ht="15.75">
      <c r="A8" s="23">
        <v>1</v>
      </c>
      <c r="B8" s="228"/>
      <c r="C8" s="229"/>
      <c r="D8" s="229"/>
      <c r="E8" s="229"/>
      <c r="F8" s="230"/>
      <c r="G8" s="115"/>
      <c r="H8" s="116" t="s">
        <v>190</v>
      </c>
      <c r="I8" s="117" t="s">
        <v>191</v>
      </c>
      <c r="J8" s="117" t="s">
        <v>192</v>
      </c>
    </row>
    <row r="9" spans="1:10" ht="15.75" customHeight="1">
      <c r="A9" s="23"/>
      <c r="B9" s="228" t="s">
        <v>167</v>
      </c>
      <c r="C9" s="229"/>
      <c r="D9" s="229"/>
      <c r="E9" s="229"/>
      <c r="F9" s="230"/>
      <c r="G9" s="78"/>
      <c r="H9" s="126"/>
      <c r="I9" s="127"/>
      <c r="J9" s="128"/>
    </row>
    <row r="10" spans="1:10" ht="15.75" customHeight="1">
      <c r="A10" s="97"/>
      <c r="B10" s="246" t="s">
        <v>168</v>
      </c>
      <c r="C10" s="246"/>
      <c r="D10" s="246"/>
      <c r="E10" s="246"/>
      <c r="F10" s="246"/>
      <c r="G10" s="15"/>
      <c r="H10" s="129">
        <v>342282.63</v>
      </c>
      <c r="I10" s="130"/>
      <c r="J10" s="131">
        <f>H10+I10</f>
        <v>342282.63</v>
      </c>
    </row>
    <row r="11" spans="1:10" ht="15.75" customHeight="1">
      <c r="A11" s="97"/>
      <c r="B11" s="246" t="s">
        <v>169</v>
      </c>
      <c r="C11" s="246"/>
      <c r="D11" s="246"/>
      <c r="E11" s="246"/>
      <c r="F11" s="246"/>
      <c r="G11" s="15"/>
      <c r="H11" s="129">
        <v>16356.1</v>
      </c>
      <c r="I11" s="130"/>
      <c r="J11" s="131">
        <f>H11+I11</f>
        <v>16356.1</v>
      </c>
    </row>
    <row r="12" spans="1:10" ht="15.75">
      <c r="A12" s="23"/>
      <c r="B12" s="246" t="s">
        <v>170</v>
      </c>
      <c r="C12" s="246"/>
      <c r="D12" s="246"/>
      <c r="E12" s="246"/>
      <c r="F12" s="246"/>
      <c r="G12" s="15"/>
      <c r="H12" s="129"/>
      <c r="I12" s="149">
        <v>29690.8</v>
      </c>
      <c r="J12" s="131">
        <f>H12+I12</f>
        <v>29690.8</v>
      </c>
    </row>
    <row r="13" spans="1:10" ht="18.75" customHeight="1">
      <c r="A13" s="23"/>
      <c r="B13" s="246" t="s">
        <v>193</v>
      </c>
      <c r="C13" s="246"/>
      <c r="D13" s="246"/>
      <c r="E13" s="246"/>
      <c r="F13" s="246"/>
      <c r="G13" s="15"/>
      <c r="H13" s="129">
        <v>1205285</v>
      </c>
      <c r="I13" s="149">
        <v>0</v>
      </c>
      <c r="J13" s="131">
        <f>H13+I13</f>
        <v>1205285</v>
      </c>
    </row>
    <row r="14" spans="1:10" ht="15.75">
      <c r="A14" s="23"/>
      <c r="B14" s="233" t="s">
        <v>171</v>
      </c>
      <c r="C14" s="233"/>
      <c r="D14" s="233"/>
      <c r="E14" s="233"/>
      <c r="F14" s="233"/>
      <c r="G14" s="15"/>
      <c r="H14" s="133">
        <f>SUM(H10:H13)</f>
        <v>1563923.73</v>
      </c>
      <c r="I14" s="134">
        <f>SUM(I10:I13)</f>
        <v>29690.8</v>
      </c>
      <c r="J14" s="133">
        <f>SUM(J10:J13)</f>
        <v>1593614.53</v>
      </c>
    </row>
    <row r="15" spans="1:10" ht="36.75" customHeight="1">
      <c r="A15" s="23">
        <v>2</v>
      </c>
      <c r="B15" s="234" t="s">
        <v>66</v>
      </c>
      <c r="C15" s="234"/>
      <c r="D15" s="234"/>
      <c r="E15" s="234"/>
      <c r="F15" s="234"/>
      <c r="G15" s="15"/>
      <c r="H15" s="129"/>
      <c r="I15" s="130"/>
      <c r="J15" s="135"/>
    </row>
    <row r="16" spans="1:10" ht="15.75" customHeight="1">
      <c r="A16" s="23" t="s">
        <v>145</v>
      </c>
      <c r="B16" s="19" t="s">
        <v>67</v>
      </c>
      <c r="C16" s="19"/>
      <c r="D16" s="19"/>
      <c r="E16" s="19"/>
      <c r="F16" s="5"/>
      <c r="G16" s="116"/>
      <c r="H16" s="136"/>
      <c r="I16" s="137"/>
      <c r="J16" s="128"/>
    </row>
    <row r="17" spans="1:10" ht="30.75" customHeight="1">
      <c r="A17" s="26"/>
      <c r="B17" s="248" t="s">
        <v>196</v>
      </c>
      <c r="C17" s="248"/>
      <c r="D17" s="248"/>
      <c r="E17" s="98" t="s">
        <v>33</v>
      </c>
      <c r="F17" s="80" t="s">
        <v>25</v>
      </c>
      <c r="G17" s="81">
        <v>1.22</v>
      </c>
      <c r="H17" s="138">
        <f>ROUND(G17*$E$3*12,2)</f>
        <v>30394.1</v>
      </c>
      <c r="I17" s="132">
        <f>$I$12*0.08</f>
        <v>2375.264</v>
      </c>
      <c r="J17" s="148">
        <f>SUM(H17:I17)</f>
        <v>32769.364</v>
      </c>
    </row>
    <row r="18" spans="1:10" ht="20.25" customHeight="1">
      <c r="A18" s="23"/>
      <c r="B18" s="253" t="s">
        <v>18</v>
      </c>
      <c r="C18" s="253"/>
      <c r="D18" s="253"/>
      <c r="E18" s="98" t="s">
        <v>33</v>
      </c>
      <c r="F18" s="80" t="s">
        <v>20</v>
      </c>
      <c r="G18" s="81">
        <v>0.28</v>
      </c>
      <c r="H18" s="138">
        <f>ROUND(G18*$E$3*12,2)</f>
        <v>6975.7</v>
      </c>
      <c r="I18" s="132">
        <f>$I$12*0.02</f>
        <v>593.816</v>
      </c>
      <c r="J18" s="148">
        <f>SUM(H18:I18)</f>
        <v>7569.516</v>
      </c>
    </row>
    <row r="19" spans="1:10" ht="26.25" customHeight="1">
      <c r="A19" s="23"/>
      <c r="B19" s="247" t="s">
        <v>24</v>
      </c>
      <c r="C19" s="247"/>
      <c r="D19" s="247"/>
      <c r="E19" s="99" t="s">
        <v>172</v>
      </c>
      <c r="F19" s="83" t="s">
        <v>21</v>
      </c>
      <c r="G19" s="81">
        <v>0.99</v>
      </c>
      <c r="H19" s="138">
        <f>J19-I19</f>
        <v>20385.744</v>
      </c>
      <c r="I19" s="132">
        <f>$I$12*0.07</f>
        <v>2078.356</v>
      </c>
      <c r="J19" s="148">
        <v>22464.1</v>
      </c>
    </row>
    <row r="20" spans="1:10" ht="20.25" customHeight="1">
      <c r="A20" s="26"/>
      <c r="B20" s="248" t="s">
        <v>32</v>
      </c>
      <c r="C20" s="248"/>
      <c r="D20" s="248"/>
      <c r="E20" s="100" t="s">
        <v>9</v>
      </c>
      <c r="F20" s="84" t="s">
        <v>10</v>
      </c>
      <c r="G20" s="81">
        <v>0.51</v>
      </c>
      <c r="H20" s="138">
        <f>ROUND(G20*$E$3*12,2)</f>
        <v>12705.73</v>
      </c>
      <c r="I20" s="132">
        <f>$I$12*0.04</f>
        <v>1187.632</v>
      </c>
      <c r="J20" s="148">
        <f>SUM(H20:I20)</f>
        <v>13893.362</v>
      </c>
    </row>
    <row r="21" spans="1:10" ht="34.5" customHeight="1">
      <c r="A21" s="23"/>
      <c r="B21" s="247" t="s">
        <v>28</v>
      </c>
      <c r="C21" s="247"/>
      <c r="D21" s="247"/>
      <c r="E21" s="99" t="s">
        <v>173</v>
      </c>
      <c r="F21" s="83" t="s">
        <v>26</v>
      </c>
      <c r="G21" s="81">
        <v>0.12</v>
      </c>
      <c r="H21" s="138">
        <f>J21-I21</f>
        <v>2658.822</v>
      </c>
      <c r="I21" s="132">
        <f>$I$12*0.01</f>
        <v>296.908</v>
      </c>
      <c r="J21" s="148">
        <v>2955.73</v>
      </c>
    </row>
    <row r="22" spans="1:10" ht="28.5" customHeight="1">
      <c r="A22" s="26"/>
      <c r="B22" s="247" t="s">
        <v>11</v>
      </c>
      <c r="C22" s="247"/>
      <c r="D22" s="247"/>
      <c r="E22" s="99" t="s">
        <v>9</v>
      </c>
      <c r="F22" s="83" t="s">
        <v>12</v>
      </c>
      <c r="G22" s="81">
        <v>2.22</v>
      </c>
      <c r="H22" s="138">
        <f>J22-I22</f>
        <v>49604.53</v>
      </c>
      <c r="I22" s="132">
        <v>0</v>
      </c>
      <c r="J22" s="150">
        <v>49604.53</v>
      </c>
    </row>
    <row r="23" spans="1:10" ht="26.25" customHeight="1">
      <c r="A23" s="26"/>
      <c r="B23" s="247" t="s">
        <v>27</v>
      </c>
      <c r="C23" s="252"/>
      <c r="D23" s="252"/>
      <c r="E23" s="101" t="s">
        <v>13</v>
      </c>
      <c r="F23" s="77" t="s">
        <v>14</v>
      </c>
      <c r="G23" s="81">
        <v>0.05</v>
      </c>
      <c r="H23" s="138">
        <f>J23-I23</f>
        <v>1585.2975999999999</v>
      </c>
      <c r="I23" s="132">
        <f>$I$12*0.003</f>
        <v>89.0724</v>
      </c>
      <c r="J23" s="148">
        <v>1674.37</v>
      </c>
    </row>
    <row r="24" spans="1:10" ht="30" customHeight="1">
      <c r="A24" s="23"/>
      <c r="B24" s="247" t="s">
        <v>72</v>
      </c>
      <c r="C24" s="247"/>
      <c r="D24" s="247"/>
      <c r="E24" s="98" t="s">
        <v>36</v>
      </c>
      <c r="F24" s="83" t="s">
        <v>82</v>
      </c>
      <c r="G24" s="81">
        <v>2.15</v>
      </c>
      <c r="H24" s="138">
        <f aca="true" t="shared" si="0" ref="H24:H29">ROUND(G24*$E$3*12,2)</f>
        <v>53563.38</v>
      </c>
      <c r="I24" s="132">
        <f>$I$12*0.19</f>
        <v>5641.2519999999995</v>
      </c>
      <c r="J24" s="148">
        <f aca="true" t="shared" si="1" ref="J24:J29">SUM(H24:I24)</f>
        <v>59204.632</v>
      </c>
    </row>
    <row r="25" spans="1:10" ht="26.25" customHeight="1">
      <c r="A25" s="23"/>
      <c r="B25" s="253" t="s">
        <v>15</v>
      </c>
      <c r="C25" s="253"/>
      <c r="D25" s="253"/>
      <c r="E25" s="98" t="s">
        <v>36</v>
      </c>
      <c r="F25" s="83" t="s">
        <v>82</v>
      </c>
      <c r="G25" s="81">
        <v>0.53</v>
      </c>
      <c r="H25" s="138">
        <f t="shared" si="0"/>
        <v>13204</v>
      </c>
      <c r="I25" s="132">
        <v>0</v>
      </c>
      <c r="J25" s="148">
        <f t="shared" si="1"/>
        <v>13204</v>
      </c>
    </row>
    <row r="26" spans="1:10" ht="28.5" customHeight="1">
      <c r="A26" s="23"/>
      <c r="B26" s="292" t="s">
        <v>37</v>
      </c>
      <c r="C26" s="293"/>
      <c r="D26" s="294"/>
      <c r="E26" s="98" t="s">
        <v>36</v>
      </c>
      <c r="F26" s="83" t="s">
        <v>82</v>
      </c>
      <c r="G26" s="102">
        <f>3.52-G27-G28</f>
        <v>3.23</v>
      </c>
      <c r="H26" s="138">
        <f t="shared" si="0"/>
        <v>80469.64</v>
      </c>
      <c r="I26" s="132">
        <f>$I$12*(0.18+0.02)</f>
        <v>5938.159999999999</v>
      </c>
      <c r="J26" s="148">
        <f t="shared" si="1"/>
        <v>86407.8</v>
      </c>
    </row>
    <row r="27" spans="1:10" ht="27" customHeight="1">
      <c r="A27" s="26"/>
      <c r="B27" s="247" t="s">
        <v>174</v>
      </c>
      <c r="C27" s="247"/>
      <c r="D27" s="247"/>
      <c r="E27" s="98" t="s">
        <v>36</v>
      </c>
      <c r="F27" s="83" t="s">
        <v>82</v>
      </c>
      <c r="G27" s="102">
        <v>0.29</v>
      </c>
      <c r="H27" s="138">
        <f t="shared" si="0"/>
        <v>7224.83</v>
      </c>
      <c r="I27" s="132">
        <f>$I$12*0.02</f>
        <v>593.816</v>
      </c>
      <c r="J27" s="148">
        <f t="shared" si="1"/>
        <v>7818.646</v>
      </c>
    </row>
    <row r="28" spans="1:11" ht="26.25" customHeight="1">
      <c r="A28" s="23"/>
      <c r="B28" s="247" t="s">
        <v>175</v>
      </c>
      <c r="C28" s="247"/>
      <c r="D28" s="247"/>
      <c r="E28" s="99" t="s">
        <v>9</v>
      </c>
      <c r="F28" s="119" t="s">
        <v>183</v>
      </c>
      <c r="G28" s="102">
        <v>0</v>
      </c>
      <c r="H28" s="138">
        <f t="shared" si="0"/>
        <v>0</v>
      </c>
      <c r="I28" s="132">
        <v>0</v>
      </c>
      <c r="J28" s="148">
        <f t="shared" si="1"/>
        <v>0</v>
      </c>
      <c r="K28" s="103"/>
    </row>
    <row r="29" spans="1:10" ht="26.25" customHeight="1">
      <c r="A29" s="23"/>
      <c r="B29" s="252" t="s">
        <v>22</v>
      </c>
      <c r="C29" s="252"/>
      <c r="D29" s="252"/>
      <c r="E29" s="99" t="s">
        <v>36</v>
      </c>
      <c r="F29" s="83" t="s">
        <v>82</v>
      </c>
      <c r="G29" s="77">
        <v>1.45</v>
      </c>
      <c r="H29" s="138">
        <f t="shared" si="0"/>
        <v>36124.14</v>
      </c>
      <c r="I29" s="132">
        <f>$I$12*0.1</f>
        <v>2969.08</v>
      </c>
      <c r="J29" s="150">
        <f t="shared" si="1"/>
        <v>39093.22</v>
      </c>
    </row>
    <row r="30" spans="1:10" ht="15" customHeight="1">
      <c r="A30" s="23"/>
      <c r="B30" s="262"/>
      <c r="C30" s="255"/>
      <c r="D30" s="256"/>
      <c r="E30" s="99"/>
      <c r="F30" s="119"/>
      <c r="G30" s="77"/>
      <c r="H30" s="138"/>
      <c r="I30" s="132"/>
      <c r="J30" s="140"/>
    </row>
    <row r="31" spans="1:10" ht="15.75" customHeight="1">
      <c r="A31" s="23"/>
      <c r="B31" s="262"/>
      <c r="C31" s="255"/>
      <c r="D31" s="256"/>
      <c r="E31" s="99"/>
      <c r="F31" s="119"/>
      <c r="G31" s="77"/>
      <c r="H31" s="138"/>
      <c r="I31" s="132"/>
      <c r="J31" s="140"/>
    </row>
    <row r="32" spans="1:10" ht="15.75">
      <c r="A32" s="23"/>
      <c r="B32" s="237" t="s">
        <v>31</v>
      </c>
      <c r="C32" s="237"/>
      <c r="D32" s="237"/>
      <c r="E32" s="14"/>
      <c r="F32" s="119"/>
      <c r="G32" s="21">
        <f>SUM(G17:G29)</f>
        <v>13.039999999999997</v>
      </c>
      <c r="H32" s="141">
        <f>SUM(H17:H31)</f>
        <v>314895.9136</v>
      </c>
      <c r="I32" s="142">
        <f>SUM(I17:I31)</f>
        <v>21763.356399999997</v>
      </c>
      <c r="J32" s="141">
        <f>SUM(J17:J31)</f>
        <v>336659.27</v>
      </c>
    </row>
    <row r="33" spans="1:10" ht="15.75">
      <c r="A33" s="23"/>
      <c r="B33" s="259" t="s">
        <v>194</v>
      </c>
      <c r="C33" s="260"/>
      <c r="D33" s="261"/>
      <c r="E33" s="99" t="s">
        <v>9</v>
      </c>
      <c r="F33" s="119"/>
      <c r="G33" s="21"/>
      <c r="H33" s="141"/>
      <c r="I33" s="142"/>
      <c r="J33" s="141"/>
    </row>
    <row r="34" spans="1:10" ht="25.5">
      <c r="A34" s="23"/>
      <c r="B34" s="259" t="s">
        <v>195</v>
      </c>
      <c r="C34" s="260"/>
      <c r="D34" s="261"/>
      <c r="E34" s="98" t="s">
        <v>36</v>
      </c>
      <c r="F34" s="119"/>
      <c r="G34" s="21"/>
      <c r="H34" s="141"/>
      <c r="I34" s="142"/>
      <c r="J34" s="141"/>
    </row>
    <row r="35" spans="1:10" ht="15.75">
      <c r="A35" s="23"/>
      <c r="B35" s="283"/>
      <c r="C35" s="284"/>
      <c r="D35" s="284"/>
      <c r="E35" s="285"/>
      <c r="F35" s="119"/>
      <c r="G35" s="21"/>
      <c r="H35" s="141"/>
      <c r="I35" s="142"/>
      <c r="J35" s="141"/>
    </row>
    <row r="36" spans="1:10" ht="21" customHeight="1">
      <c r="A36" s="23" t="s">
        <v>147</v>
      </c>
      <c r="B36" s="269" t="s">
        <v>176</v>
      </c>
      <c r="C36" s="270"/>
      <c r="D36" s="270"/>
      <c r="E36" s="271"/>
      <c r="F36" s="83" t="s">
        <v>82</v>
      </c>
      <c r="G36" s="24">
        <f>H36/E3/12</f>
        <v>0.6236452964693416</v>
      </c>
      <c r="H36" s="142">
        <v>15537</v>
      </c>
      <c r="I36" s="139">
        <v>0</v>
      </c>
      <c r="J36" s="134">
        <f>SUM(H36:I36)</f>
        <v>15537</v>
      </c>
    </row>
    <row r="37" spans="1:10" ht="18.75">
      <c r="A37" s="25"/>
      <c r="B37" s="258" t="s">
        <v>70</v>
      </c>
      <c r="C37" s="258"/>
      <c r="D37" s="258"/>
      <c r="E37" s="258"/>
      <c r="F37" s="258"/>
      <c r="G37" s="21">
        <f>SUM(G32:G36)</f>
        <v>13.663645296469339</v>
      </c>
      <c r="H37" s="143">
        <f>SUM(H32:H36)</f>
        <v>330432.9136</v>
      </c>
      <c r="I37" s="144">
        <f>SUM(I32:I36)</f>
        <v>21763.356399999997</v>
      </c>
      <c r="J37" s="144">
        <f>SUM(J32:J36)</f>
        <v>352196.27</v>
      </c>
    </row>
    <row r="38" spans="1:10" ht="15.75">
      <c r="A38" s="23" t="s">
        <v>148</v>
      </c>
      <c r="B38" s="257" t="s">
        <v>177</v>
      </c>
      <c r="C38" s="257"/>
      <c r="D38" s="257"/>
      <c r="E38" s="257"/>
      <c r="F38" s="257"/>
      <c r="G38" s="24"/>
      <c r="H38" s="145">
        <v>1269090</v>
      </c>
      <c r="I38" s="145">
        <v>0</v>
      </c>
      <c r="J38" s="151">
        <f>SUM(H38:I38)</f>
        <v>1269090</v>
      </c>
    </row>
    <row r="39" spans="1:10" ht="15.75" customHeight="1">
      <c r="A39" s="25"/>
      <c r="B39" s="258" t="s">
        <v>178</v>
      </c>
      <c r="C39" s="258"/>
      <c r="D39" s="258"/>
      <c r="E39" s="258"/>
      <c r="F39" s="258"/>
      <c r="G39" s="21">
        <f>SUM(G37:G38)</f>
        <v>13.663645296469339</v>
      </c>
      <c r="H39" s="143">
        <f>SUM(H37:H38)</f>
        <v>1599522.9136</v>
      </c>
      <c r="I39" s="144">
        <f>SUM(I37:I38)</f>
        <v>21763.356399999997</v>
      </c>
      <c r="J39" s="144">
        <f>SUM(J37:J38)</f>
        <v>1621286.27</v>
      </c>
    </row>
    <row r="40" spans="1:10" ht="15.75" customHeight="1">
      <c r="A40" s="23">
        <v>3</v>
      </c>
      <c r="B40" s="263" t="s">
        <v>217</v>
      </c>
      <c r="C40" s="264"/>
      <c r="D40" s="264"/>
      <c r="E40" s="264"/>
      <c r="F40" s="264"/>
      <c r="G40" s="265"/>
      <c r="H40" s="146">
        <f>H14-H39</f>
        <v>-35599.183600000106</v>
      </c>
      <c r="I40" s="138">
        <f>I14-I39</f>
        <v>7927.443600000002</v>
      </c>
      <c r="J40" s="147">
        <f>J14-J39</f>
        <v>-27671.73999999999</v>
      </c>
    </row>
    <row r="42" spans="1:5" ht="15.75">
      <c r="A42" s="34" t="s">
        <v>142</v>
      </c>
      <c r="E42" s="34" t="s">
        <v>224</v>
      </c>
    </row>
    <row r="44" spans="1:3" ht="15.75">
      <c r="A44" s="121" t="s">
        <v>218</v>
      </c>
      <c r="B44" s="121"/>
      <c r="C44" s="71"/>
    </row>
    <row r="45" spans="1:3" ht="15.75">
      <c r="A45" s="218" t="s">
        <v>87</v>
      </c>
      <c r="B45" s="218"/>
      <c r="C45" s="218"/>
    </row>
  </sheetData>
  <mergeCells count="37"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9:D19"/>
    <mergeCell ref="B20:D20"/>
    <mergeCell ref="B21:D21"/>
    <mergeCell ref="B22:D22"/>
    <mergeCell ref="B23:D23"/>
    <mergeCell ref="B24:D24"/>
    <mergeCell ref="B25:D25"/>
    <mergeCell ref="B26:D26"/>
    <mergeCell ref="B30:D30"/>
    <mergeCell ref="B39:F39"/>
    <mergeCell ref="B27:D27"/>
    <mergeCell ref="B28:D28"/>
    <mergeCell ref="B29:D29"/>
    <mergeCell ref="B35:E35"/>
    <mergeCell ref="B33:D33"/>
    <mergeCell ref="B34:D34"/>
    <mergeCell ref="B40:G40"/>
    <mergeCell ref="A45:C45"/>
    <mergeCell ref="A1:J1"/>
    <mergeCell ref="A2:J2"/>
    <mergeCell ref="B18:D18"/>
    <mergeCell ref="B32:D32"/>
    <mergeCell ref="B36:E36"/>
    <mergeCell ref="B37:F37"/>
    <mergeCell ref="B38:F38"/>
    <mergeCell ref="B31:D31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J21" sqref="J21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3.75390625" style="0" customWidth="1"/>
    <col min="5" max="5" width="18.00390625" style="0" customWidth="1"/>
    <col min="6" max="6" width="22.125" style="0" hidden="1" customWidth="1"/>
    <col min="7" max="7" width="5.875" style="109" bestFit="1" customWidth="1"/>
    <col min="8" max="8" width="11.00390625" style="0" customWidth="1"/>
    <col min="9" max="9" width="9.875" style="0" bestFit="1" customWidth="1"/>
  </cols>
  <sheetData>
    <row r="1" spans="1:8" ht="102.75" customHeight="1">
      <c r="A1" s="235" t="s">
        <v>220</v>
      </c>
      <c r="B1" s="235"/>
      <c r="C1" s="235"/>
      <c r="D1" s="235"/>
      <c r="E1" s="235"/>
      <c r="F1" s="235"/>
      <c r="G1" s="235"/>
      <c r="H1" s="235"/>
    </row>
    <row r="2" spans="1:6" ht="18.75">
      <c r="A2" s="1" t="s">
        <v>80</v>
      </c>
      <c r="B2" s="1" t="s">
        <v>81</v>
      </c>
      <c r="C2" s="2"/>
      <c r="D2" s="2" t="s">
        <v>0</v>
      </c>
      <c r="E2" s="4">
        <v>2076.1</v>
      </c>
      <c r="F2" s="2"/>
    </row>
    <row r="3" spans="2:6" ht="15.75">
      <c r="B3" s="3" t="s">
        <v>1</v>
      </c>
      <c r="C3" s="37">
        <v>9</v>
      </c>
      <c r="D3" s="2" t="s">
        <v>2</v>
      </c>
      <c r="E3" s="4">
        <v>48</v>
      </c>
      <c r="F3" s="2"/>
    </row>
    <row r="4" spans="2:7" ht="15.75">
      <c r="B4" s="3" t="s">
        <v>3</v>
      </c>
      <c r="C4" s="4">
        <v>1</v>
      </c>
      <c r="D4" s="2" t="s">
        <v>4</v>
      </c>
      <c r="E4" s="2" t="s">
        <v>17</v>
      </c>
      <c r="F4" s="2"/>
      <c r="G4" s="110"/>
    </row>
    <row r="5" spans="2:7" ht="16.5" thickBot="1">
      <c r="B5" s="3"/>
      <c r="C5" s="4"/>
      <c r="D5" s="2" t="s">
        <v>5</v>
      </c>
      <c r="E5" s="2" t="s">
        <v>16</v>
      </c>
      <c r="F5" s="2"/>
      <c r="G5" s="110"/>
    </row>
    <row r="6" spans="1:8" ht="61.5" customHeight="1">
      <c r="A6" s="72" t="s">
        <v>61</v>
      </c>
      <c r="B6" s="272" t="s">
        <v>166</v>
      </c>
      <c r="C6" s="273"/>
      <c r="D6" s="274"/>
      <c r="E6" s="73" t="s">
        <v>6</v>
      </c>
      <c r="F6" s="73" t="s">
        <v>7</v>
      </c>
      <c r="G6" s="122" t="s">
        <v>135</v>
      </c>
      <c r="H6" s="74" t="s">
        <v>136</v>
      </c>
    </row>
    <row r="7" spans="1:8" ht="15.75" customHeight="1">
      <c r="A7" s="75">
        <v>1</v>
      </c>
      <c r="B7" s="275" t="s">
        <v>137</v>
      </c>
      <c r="C7" s="275"/>
      <c r="D7" s="275"/>
      <c r="E7" s="275"/>
      <c r="F7" s="275"/>
      <c r="G7" s="118"/>
      <c r="H7" s="76"/>
    </row>
    <row r="8" spans="1:8" ht="15.75" customHeight="1">
      <c r="A8" s="75"/>
      <c r="B8" s="233" t="s">
        <v>182</v>
      </c>
      <c r="C8" s="233"/>
      <c r="D8" s="233"/>
      <c r="E8" s="233"/>
      <c r="F8" s="233"/>
      <c r="G8" s="24">
        <f>G27</f>
        <v>15.31</v>
      </c>
      <c r="H8" s="76">
        <f>ROUND($E$2*G8*12,0)</f>
        <v>381421</v>
      </c>
    </row>
    <row r="9" spans="1:8" ht="15.75" customHeight="1">
      <c r="A9" s="75"/>
      <c r="B9" s="278" t="s">
        <v>138</v>
      </c>
      <c r="C9" s="278"/>
      <c r="D9" s="278"/>
      <c r="E9" s="278"/>
      <c r="F9" s="278"/>
      <c r="G9" s="24">
        <v>0.78</v>
      </c>
      <c r="H9" s="76">
        <f>ROUND($E$2*G9*12,0)</f>
        <v>19432</v>
      </c>
    </row>
    <row r="10" spans="1:8" ht="15.75" customHeight="1">
      <c r="A10" s="75">
        <v>2</v>
      </c>
      <c r="B10" s="234" t="s">
        <v>66</v>
      </c>
      <c r="C10" s="234"/>
      <c r="D10" s="234"/>
      <c r="E10" s="234"/>
      <c r="F10" s="234"/>
      <c r="G10" s="81"/>
      <c r="H10" s="76"/>
    </row>
    <row r="11" spans="1:8" ht="18.75" customHeight="1">
      <c r="A11" s="75" t="s">
        <v>145</v>
      </c>
      <c r="B11" s="19" t="s">
        <v>67</v>
      </c>
      <c r="C11" s="19"/>
      <c r="D11" s="19"/>
      <c r="E11" s="19"/>
      <c r="F11" s="5"/>
      <c r="G11" s="113"/>
      <c r="H11" s="76"/>
    </row>
    <row r="12" spans="1:8" ht="31.5" customHeight="1">
      <c r="A12" s="79" t="s">
        <v>146</v>
      </c>
      <c r="B12" s="276" t="s">
        <v>197</v>
      </c>
      <c r="C12" s="276"/>
      <c r="D12" s="276"/>
      <c r="E12" s="98" t="s">
        <v>33</v>
      </c>
      <c r="F12" s="80" t="s">
        <v>25</v>
      </c>
      <c r="G12" s="81">
        <v>1.29</v>
      </c>
      <c r="H12" s="82">
        <f aca="true" t="shared" si="0" ref="H12:H27">ROUND($E$2*G12*12,0)</f>
        <v>32138</v>
      </c>
    </row>
    <row r="13" spans="1:9" ht="15.75" customHeight="1">
      <c r="A13" s="79"/>
      <c r="B13" s="276" t="s">
        <v>18</v>
      </c>
      <c r="C13" s="276"/>
      <c r="D13" s="276"/>
      <c r="E13" s="98" t="s">
        <v>33</v>
      </c>
      <c r="F13" s="80" t="s">
        <v>20</v>
      </c>
      <c r="G13" s="81">
        <v>0.3</v>
      </c>
      <c r="H13" s="82">
        <f t="shared" si="0"/>
        <v>7474</v>
      </c>
      <c r="I13" s="31"/>
    </row>
    <row r="14" spans="1:8" ht="18.75" customHeight="1">
      <c r="A14" s="79"/>
      <c r="B14" s="277" t="s">
        <v>24</v>
      </c>
      <c r="C14" s="277"/>
      <c r="D14" s="277"/>
      <c r="E14" s="99" t="s">
        <v>172</v>
      </c>
      <c r="F14" s="83" t="s">
        <v>21</v>
      </c>
      <c r="G14" s="81">
        <v>1.05</v>
      </c>
      <c r="H14" s="82">
        <f t="shared" si="0"/>
        <v>26159</v>
      </c>
    </row>
    <row r="15" spans="1:8" ht="15.75" customHeight="1">
      <c r="A15" s="79"/>
      <c r="B15" s="290" t="s">
        <v>32</v>
      </c>
      <c r="C15" s="290"/>
      <c r="D15" s="290"/>
      <c r="E15" s="100" t="s">
        <v>9</v>
      </c>
      <c r="F15" s="84" t="s">
        <v>10</v>
      </c>
      <c r="G15" s="81">
        <v>0.54</v>
      </c>
      <c r="H15" s="82">
        <f t="shared" si="0"/>
        <v>13453</v>
      </c>
    </row>
    <row r="16" spans="1:8" ht="62.25" customHeight="1">
      <c r="A16" s="79"/>
      <c r="B16" s="277" t="s">
        <v>28</v>
      </c>
      <c r="C16" s="277"/>
      <c r="D16" s="277"/>
      <c r="E16" s="99" t="s">
        <v>173</v>
      </c>
      <c r="F16" s="83" t="s">
        <v>26</v>
      </c>
      <c r="G16" s="81">
        <v>0.13</v>
      </c>
      <c r="H16" s="82">
        <f t="shared" si="0"/>
        <v>3239</v>
      </c>
    </row>
    <row r="17" spans="1:8" ht="42.75" customHeight="1">
      <c r="A17" s="79"/>
      <c r="B17" s="277" t="s">
        <v>11</v>
      </c>
      <c r="C17" s="277"/>
      <c r="D17" s="277"/>
      <c r="E17" s="99" t="s">
        <v>9</v>
      </c>
      <c r="F17" s="83" t="s">
        <v>12</v>
      </c>
      <c r="G17" s="81">
        <v>2.35</v>
      </c>
      <c r="H17" s="82">
        <f t="shared" si="0"/>
        <v>58546</v>
      </c>
    </row>
    <row r="18" spans="1:8" ht="30" customHeight="1">
      <c r="A18" s="79"/>
      <c r="B18" s="277" t="s">
        <v>27</v>
      </c>
      <c r="C18" s="282"/>
      <c r="D18" s="282"/>
      <c r="E18" s="101" t="s">
        <v>13</v>
      </c>
      <c r="F18" s="77" t="s">
        <v>139</v>
      </c>
      <c r="G18" s="81">
        <v>0.05</v>
      </c>
      <c r="H18" s="82">
        <f t="shared" si="0"/>
        <v>1246</v>
      </c>
    </row>
    <row r="19" spans="1:8" ht="33" customHeight="1">
      <c r="A19" s="79"/>
      <c r="B19" s="277" t="s">
        <v>72</v>
      </c>
      <c r="C19" s="277"/>
      <c r="D19" s="277"/>
      <c r="E19" s="98" t="s">
        <v>36</v>
      </c>
      <c r="F19" s="83" t="s">
        <v>82</v>
      </c>
      <c r="G19" s="81">
        <v>2.28</v>
      </c>
      <c r="H19" s="82">
        <f t="shared" si="0"/>
        <v>56802</v>
      </c>
    </row>
    <row r="20" spans="1:8" ht="51">
      <c r="A20" s="79"/>
      <c r="B20" s="276" t="s">
        <v>15</v>
      </c>
      <c r="C20" s="276"/>
      <c r="D20" s="276"/>
      <c r="E20" s="98" t="s">
        <v>140</v>
      </c>
      <c r="F20" s="83" t="s">
        <v>82</v>
      </c>
      <c r="G20" s="81">
        <v>0.56</v>
      </c>
      <c r="H20" s="82">
        <f>ROUND($E$2*G20/4*3*12,0)</f>
        <v>10464</v>
      </c>
    </row>
    <row r="21" spans="1:8" ht="29.25" customHeight="1">
      <c r="A21" s="79"/>
      <c r="B21" s="277" t="s">
        <v>37</v>
      </c>
      <c r="C21" s="282"/>
      <c r="D21" s="282"/>
      <c r="E21" s="98" t="s">
        <v>36</v>
      </c>
      <c r="F21" s="83" t="s">
        <v>82</v>
      </c>
      <c r="G21" s="81">
        <f>3.73-G22-G23</f>
        <v>3.42</v>
      </c>
      <c r="H21" s="82">
        <f t="shared" si="0"/>
        <v>85203</v>
      </c>
    </row>
    <row r="22" spans="1:8" ht="37.5" customHeight="1">
      <c r="A22" s="79"/>
      <c r="B22" s="277" t="s">
        <v>184</v>
      </c>
      <c r="C22" s="277"/>
      <c r="D22" s="277"/>
      <c r="E22" s="99" t="s">
        <v>9</v>
      </c>
      <c r="F22" s="83" t="s">
        <v>82</v>
      </c>
      <c r="G22" s="81">
        <v>0.31</v>
      </c>
      <c r="H22" s="82">
        <f t="shared" si="0"/>
        <v>7723</v>
      </c>
    </row>
    <row r="23" spans="1:8" ht="27.75" customHeight="1">
      <c r="A23" s="79"/>
      <c r="B23" s="277" t="s">
        <v>175</v>
      </c>
      <c r="C23" s="277"/>
      <c r="D23" s="277"/>
      <c r="E23" s="99" t="s">
        <v>9</v>
      </c>
      <c r="F23" s="83" t="s">
        <v>82</v>
      </c>
      <c r="G23" s="81">
        <v>0</v>
      </c>
      <c r="H23" s="82">
        <f t="shared" si="0"/>
        <v>0</v>
      </c>
    </row>
    <row r="24" spans="1:8" ht="25.5">
      <c r="A24" s="79"/>
      <c r="B24" s="282" t="s">
        <v>22</v>
      </c>
      <c r="C24" s="282"/>
      <c r="D24" s="282"/>
      <c r="E24" s="98" t="s">
        <v>36</v>
      </c>
      <c r="F24" s="83" t="s">
        <v>82</v>
      </c>
      <c r="G24" s="81">
        <v>1.54</v>
      </c>
      <c r="H24" s="82">
        <f t="shared" si="0"/>
        <v>38366</v>
      </c>
    </row>
    <row r="25" spans="1:8" ht="15.75">
      <c r="A25" s="79"/>
      <c r="B25" s="283" t="s">
        <v>31</v>
      </c>
      <c r="C25" s="284"/>
      <c r="D25" s="285"/>
      <c r="E25" s="14"/>
      <c r="F25" s="83"/>
      <c r="G25" s="21">
        <f>SUM(G12:G24)</f>
        <v>13.82</v>
      </c>
      <c r="H25" s="82">
        <f t="shared" si="0"/>
        <v>344300</v>
      </c>
    </row>
    <row r="26" spans="1:8" ht="31.5" customHeight="1">
      <c r="A26" s="75" t="s">
        <v>147</v>
      </c>
      <c r="B26" s="269" t="s">
        <v>225</v>
      </c>
      <c r="C26" s="270"/>
      <c r="D26" s="270"/>
      <c r="E26" s="271"/>
      <c r="F26" s="27" t="s">
        <v>83</v>
      </c>
      <c r="G26" s="24">
        <v>1.49</v>
      </c>
      <c r="H26" s="82">
        <v>136050</v>
      </c>
    </row>
    <row r="27" spans="1:8" ht="15.75" customHeight="1">
      <c r="A27" s="75"/>
      <c r="B27" s="286" t="s">
        <v>186</v>
      </c>
      <c r="C27" s="286"/>
      <c r="D27" s="286"/>
      <c r="E27" s="286"/>
      <c r="F27" s="286"/>
      <c r="G27" s="21">
        <f>SUM(G25:G26)</f>
        <v>15.31</v>
      </c>
      <c r="H27" s="104">
        <f t="shared" si="0"/>
        <v>381421</v>
      </c>
    </row>
    <row r="28" spans="1:8" ht="16.5" thickBot="1">
      <c r="A28" s="105">
        <v>3</v>
      </c>
      <c r="B28" s="287" t="s">
        <v>219</v>
      </c>
      <c r="C28" s="288"/>
      <c r="D28" s="289"/>
      <c r="E28" s="106"/>
      <c r="F28" s="107" t="s">
        <v>83</v>
      </c>
      <c r="G28" s="114">
        <v>0.78</v>
      </c>
      <c r="H28" s="108">
        <f>ROUND($E$2*G28*12,0)</f>
        <v>19432</v>
      </c>
    </row>
    <row r="29" spans="1:7" ht="51.75" customHeight="1">
      <c r="A29" s="152"/>
      <c r="B29" s="295" t="s">
        <v>221</v>
      </c>
      <c r="C29" s="295"/>
      <c r="D29" s="295"/>
      <c r="E29" s="295"/>
      <c r="F29" s="153"/>
      <c r="G29" s="154"/>
    </row>
    <row r="30" spans="1:8" ht="15.75" customHeight="1">
      <c r="A30" s="155" t="s">
        <v>222</v>
      </c>
      <c r="B30" s="155"/>
      <c r="C30" s="155"/>
      <c r="D30" s="155"/>
      <c r="E30" s="155"/>
      <c r="F30" s="155"/>
      <c r="G30" s="155"/>
      <c r="H30" s="155"/>
    </row>
    <row r="31" spans="1:7" ht="15.75" customHeight="1">
      <c r="A31" s="225" t="s">
        <v>226</v>
      </c>
      <c r="B31" s="225"/>
      <c r="C31" s="225"/>
      <c r="D31" s="225"/>
      <c r="E31" s="225"/>
      <c r="F31" s="225"/>
      <c r="G31" s="225"/>
    </row>
    <row r="32" spans="6:8" ht="15.75">
      <c r="F32" t="s">
        <v>144</v>
      </c>
      <c r="G32" s="112"/>
      <c r="H32" s="94"/>
    </row>
    <row r="33" spans="7:8" ht="15.75" customHeight="1">
      <c r="G33" s="112"/>
      <c r="H33" s="94"/>
    </row>
    <row r="34" spans="7:8" ht="15.75" customHeight="1">
      <c r="G34" s="112"/>
      <c r="H34" s="94"/>
    </row>
    <row r="35" spans="7:8" ht="15.75" customHeight="1">
      <c r="G35" s="112"/>
      <c r="H35" s="94"/>
    </row>
    <row r="36" spans="2:6" ht="18" customHeight="1">
      <c r="B36" s="34"/>
      <c r="F36" s="34"/>
    </row>
  </sheetData>
  <mergeCells count="25">
    <mergeCell ref="B29:E29"/>
    <mergeCell ref="A31:G31"/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6:E26"/>
    <mergeCell ref="B27:F27"/>
    <mergeCell ref="B28:D28"/>
    <mergeCell ref="B22:D22"/>
    <mergeCell ref="B23:D23"/>
    <mergeCell ref="B24:D24"/>
    <mergeCell ref="B25:D25"/>
  </mergeCells>
  <printOptions/>
  <pageMargins left="1.14" right="0" top="0" bottom="0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K5" sqref="K5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50390625" style="0" customWidth="1"/>
    <col min="5" max="5" width="17.00390625" style="0" customWidth="1"/>
    <col min="6" max="6" width="33.125" style="0" hidden="1" customWidth="1"/>
    <col min="7" max="7" width="12.50390625" style="109" customWidth="1"/>
    <col min="8" max="8" width="13.25390625" style="0" customWidth="1"/>
    <col min="9" max="9" width="9.875" style="0" bestFit="1" customWidth="1"/>
  </cols>
  <sheetData>
    <row r="1" spans="4:8" ht="71.25" customHeight="1">
      <c r="D1" s="298" t="s">
        <v>227</v>
      </c>
      <c r="E1" s="298"/>
      <c r="F1" s="298"/>
      <c r="G1" s="298"/>
      <c r="H1" s="298"/>
    </row>
    <row r="2" spans="4:8" ht="15.75">
      <c r="D2" s="158"/>
      <c r="E2" s="158"/>
      <c r="F2" s="158"/>
      <c r="G2" s="158"/>
      <c r="H2" s="158"/>
    </row>
    <row r="3" spans="4:8" ht="15.75">
      <c r="D3" s="158"/>
      <c r="E3" s="158"/>
      <c r="F3" s="158"/>
      <c r="G3" s="158"/>
      <c r="H3" s="158"/>
    </row>
    <row r="4" spans="1:8" ht="19.5">
      <c r="A4" s="235" t="s">
        <v>228</v>
      </c>
      <c r="B4" s="235"/>
      <c r="C4" s="235"/>
      <c r="D4" s="235"/>
      <c r="E4" s="235"/>
      <c r="F4" s="235"/>
      <c r="G4" s="235"/>
      <c r="H4" s="235"/>
    </row>
    <row r="5" spans="1:7" ht="19.5">
      <c r="A5" s="156"/>
      <c r="B5" s="156"/>
      <c r="C5" s="156"/>
      <c r="D5" s="156"/>
      <c r="E5" s="156"/>
      <c r="F5" s="156"/>
      <c r="G5"/>
    </row>
    <row r="6" spans="1:7" ht="19.5">
      <c r="A6" s="156"/>
      <c r="B6" s="296" t="s">
        <v>246</v>
      </c>
      <c r="C6" s="296"/>
      <c r="D6" s="296"/>
      <c r="E6" s="296"/>
      <c r="F6" s="156"/>
      <c r="G6"/>
    </row>
    <row r="8" spans="1:6" ht="18.75">
      <c r="A8" s="1" t="s">
        <v>80</v>
      </c>
      <c r="B8" s="1" t="s">
        <v>81</v>
      </c>
      <c r="C8" s="2"/>
      <c r="D8" s="2" t="s">
        <v>0</v>
      </c>
      <c r="E8" s="4">
        <v>2076.1</v>
      </c>
      <c r="F8" s="2"/>
    </row>
    <row r="9" spans="2:6" ht="15.75">
      <c r="B9" s="3" t="s">
        <v>1</v>
      </c>
      <c r="C9" s="37">
        <v>9</v>
      </c>
      <c r="D9" s="2" t="s">
        <v>2</v>
      </c>
      <c r="E9" s="4">
        <v>48</v>
      </c>
      <c r="F9" s="2"/>
    </row>
    <row r="10" spans="2:7" ht="15.75">
      <c r="B10" s="3" t="s">
        <v>3</v>
      </c>
      <c r="C10" s="4">
        <v>1</v>
      </c>
      <c r="D10" s="2" t="s">
        <v>4</v>
      </c>
      <c r="E10" s="2" t="s">
        <v>17</v>
      </c>
      <c r="F10" s="2"/>
      <c r="G10" s="110"/>
    </row>
    <row r="11" spans="2:7" ht="16.5" thickBot="1">
      <c r="B11" s="3"/>
      <c r="C11" s="4"/>
      <c r="D11" s="2" t="s">
        <v>5</v>
      </c>
      <c r="E11" s="2" t="s">
        <v>16</v>
      </c>
      <c r="F11" s="2"/>
      <c r="G11" s="110"/>
    </row>
    <row r="12" spans="1:8" ht="94.5">
      <c r="A12" s="72" t="s">
        <v>61</v>
      </c>
      <c r="B12" s="272" t="s">
        <v>166</v>
      </c>
      <c r="C12" s="273"/>
      <c r="D12" s="274"/>
      <c r="E12" s="73" t="s">
        <v>6</v>
      </c>
      <c r="F12" s="73" t="s">
        <v>7</v>
      </c>
      <c r="G12" s="167" t="s">
        <v>241</v>
      </c>
      <c r="H12" s="168" t="s">
        <v>242</v>
      </c>
    </row>
    <row r="13" spans="1:8" ht="25.5">
      <c r="A13" s="163">
        <v>1</v>
      </c>
      <c r="B13" s="243">
        <v>2</v>
      </c>
      <c r="C13" s="244"/>
      <c r="D13" s="297"/>
      <c r="E13" s="164">
        <v>3</v>
      </c>
      <c r="F13" s="160"/>
      <c r="G13" s="165">
        <v>4</v>
      </c>
      <c r="H13" s="166" t="s">
        <v>243</v>
      </c>
    </row>
    <row r="14" spans="1:8" ht="15.75" customHeight="1" hidden="1">
      <c r="A14" s="75">
        <v>1</v>
      </c>
      <c r="B14" s="275" t="s">
        <v>137</v>
      </c>
      <c r="C14" s="275"/>
      <c r="D14" s="275"/>
      <c r="E14" s="275"/>
      <c r="F14" s="275"/>
      <c r="G14" s="118"/>
      <c r="H14" s="76"/>
    </row>
    <row r="15" spans="1:8" ht="15.75" customHeight="1" hidden="1">
      <c r="A15" s="75"/>
      <c r="B15" s="233" t="s">
        <v>182</v>
      </c>
      <c r="C15" s="233"/>
      <c r="D15" s="233"/>
      <c r="E15" s="233"/>
      <c r="F15" s="233"/>
      <c r="G15" s="24">
        <f>G34</f>
        <v>15.36</v>
      </c>
      <c r="H15" s="76">
        <f>ROUND($E$8*G15*12,0)</f>
        <v>382667</v>
      </c>
    </row>
    <row r="16" spans="1:8" ht="15.75" customHeight="1" hidden="1">
      <c r="A16" s="75"/>
      <c r="B16" s="278" t="s">
        <v>138</v>
      </c>
      <c r="C16" s="278"/>
      <c r="D16" s="278"/>
      <c r="E16" s="278"/>
      <c r="F16" s="278"/>
      <c r="G16" s="24">
        <v>0.78</v>
      </c>
      <c r="H16" s="76">
        <f>ROUND($E$8*G16*12,0)</f>
        <v>19432</v>
      </c>
    </row>
    <row r="17" spans="1:8" ht="15.75" customHeight="1">
      <c r="A17" s="75" t="s">
        <v>96</v>
      </c>
      <c r="B17" s="234" t="s">
        <v>66</v>
      </c>
      <c r="C17" s="234"/>
      <c r="D17" s="234"/>
      <c r="E17" s="234"/>
      <c r="F17" s="234"/>
      <c r="G17" s="81"/>
      <c r="H17" s="76"/>
    </row>
    <row r="18" spans="1:8" ht="18.75" customHeight="1">
      <c r="A18" s="75" t="s">
        <v>229</v>
      </c>
      <c r="B18" s="19" t="s">
        <v>67</v>
      </c>
      <c r="C18" s="19"/>
      <c r="D18" s="19"/>
      <c r="E18" s="19"/>
      <c r="F18" s="5"/>
      <c r="G18" s="113"/>
      <c r="H18" s="76"/>
    </row>
    <row r="19" spans="1:8" ht="19.5" customHeight="1">
      <c r="A19" s="79"/>
      <c r="B19" s="276" t="s">
        <v>244</v>
      </c>
      <c r="C19" s="276"/>
      <c r="D19" s="276"/>
      <c r="E19" s="98" t="s">
        <v>33</v>
      </c>
      <c r="F19" s="80" t="s">
        <v>25</v>
      </c>
      <c r="G19" s="81">
        <v>1.29</v>
      </c>
      <c r="H19" s="82">
        <f>ROUND($E$8*G19*6,0)</f>
        <v>16069</v>
      </c>
    </row>
    <row r="20" spans="1:9" ht="15.75" customHeight="1">
      <c r="A20" s="79"/>
      <c r="B20" s="276" t="s">
        <v>18</v>
      </c>
      <c r="C20" s="276"/>
      <c r="D20" s="276"/>
      <c r="E20" s="98" t="s">
        <v>33</v>
      </c>
      <c r="F20" s="80" t="s">
        <v>20</v>
      </c>
      <c r="G20" s="81">
        <v>0.3</v>
      </c>
      <c r="H20" s="82">
        <f aca="true" t="shared" si="0" ref="H20:H35">ROUND($E$8*G20*6,0)</f>
        <v>3737</v>
      </c>
      <c r="I20" s="31"/>
    </row>
    <row r="21" spans="1:8" ht="18.75" customHeight="1">
      <c r="A21" s="79"/>
      <c r="B21" s="277" t="s">
        <v>24</v>
      </c>
      <c r="C21" s="277"/>
      <c r="D21" s="277"/>
      <c r="E21" s="99" t="s">
        <v>172</v>
      </c>
      <c r="F21" s="83" t="s">
        <v>21</v>
      </c>
      <c r="G21" s="81">
        <v>1.05</v>
      </c>
      <c r="H21" s="82">
        <f t="shared" si="0"/>
        <v>13079</v>
      </c>
    </row>
    <row r="22" spans="1:8" ht="15.75" customHeight="1">
      <c r="A22" s="79"/>
      <c r="B22" s="290" t="s">
        <v>32</v>
      </c>
      <c r="C22" s="290"/>
      <c r="D22" s="290"/>
      <c r="E22" s="100" t="s">
        <v>9</v>
      </c>
      <c r="F22" s="84" t="s">
        <v>10</v>
      </c>
      <c r="G22" s="81">
        <v>0.54</v>
      </c>
      <c r="H22" s="82">
        <f t="shared" si="0"/>
        <v>6727</v>
      </c>
    </row>
    <row r="23" spans="1:8" ht="53.25" customHeight="1">
      <c r="A23" s="79"/>
      <c r="B23" s="277" t="s">
        <v>28</v>
      </c>
      <c r="C23" s="277"/>
      <c r="D23" s="277"/>
      <c r="E23" s="99" t="s">
        <v>173</v>
      </c>
      <c r="F23" s="83" t="s">
        <v>26</v>
      </c>
      <c r="G23" s="81">
        <v>0.13</v>
      </c>
      <c r="H23" s="82">
        <f t="shared" si="0"/>
        <v>1619</v>
      </c>
    </row>
    <row r="24" spans="1:8" ht="42.75" customHeight="1">
      <c r="A24" s="79"/>
      <c r="B24" s="277" t="s">
        <v>11</v>
      </c>
      <c r="C24" s="277"/>
      <c r="D24" s="277"/>
      <c r="E24" s="99" t="s">
        <v>9</v>
      </c>
      <c r="F24" s="83" t="s">
        <v>12</v>
      </c>
      <c r="G24" s="81">
        <v>2.35</v>
      </c>
      <c r="H24" s="82">
        <f t="shared" si="0"/>
        <v>29273</v>
      </c>
    </row>
    <row r="25" spans="1:8" ht="30" customHeight="1">
      <c r="A25" s="79"/>
      <c r="B25" s="277" t="s">
        <v>27</v>
      </c>
      <c r="C25" s="282"/>
      <c r="D25" s="282"/>
      <c r="E25" s="101" t="s">
        <v>13</v>
      </c>
      <c r="F25" s="77" t="s">
        <v>139</v>
      </c>
      <c r="G25" s="81">
        <v>0.05</v>
      </c>
      <c r="H25" s="82">
        <f t="shared" si="0"/>
        <v>623</v>
      </c>
    </row>
    <row r="26" spans="1:8" ht="51">
      <c r="A26" s="79"/>
      <c r="B26" s="277" t="s">
        <v>72</v>
      </c>
      <c r="C26" s="277"/>
      <c r="D26" s="277"/>
      <c r="E26" s="98" t="s">
        <v>245</v>
      </c>
      <c r="F26" s="83" t="s">
        <v>82</v>
      </c>
      <c r="G26" s="81">
        <v>1.63</v>
      </c>
      <c r="H26" s="82">
        <f t="shared" si="0"/>
        <v>20304</v>
      </c>
    </row>
    <row r="27" spans="1:8" ht="51">
      <c r="A27" s="79"/>
      <c r="B27" s="276" t="s">
        <v>15</v>
      </c>
      <c r="C27" s="276"/>
      <c r="D27" s="276"/>
      <c r="E27" s="98" t="s">
        <v>140</v>
      </c>
      <c r="F27" s="83" t="s">
        <v>82</v>
      </c>
      <c r="G27" s="81">
        <v>0.56</v>
      </c>
      <c r="H27" s="82">
        <f t="shared" si="0"/>
        <v>6976</v>
      </c>
    </row>
    <row r="28" spans="1:8" ht="29.25" customHeight="1">
      <c r="A28" s="79"/>
      <c r="B28" s="277" t="s">
        <v>37</v>
      </c>
      <c r="C28" s="282"/>
      <c r="D28" s="282"/>
      <c r="E28" s="98" t="s">
        <v>36</v>
      </c>
      <c r="F28" s="83" t="s">
        <v>82</v>
      </c>
      <c r="G28" s="81">
        <f>4.38-G29-G30</f>
        <v>4.07</v>
      </c>
      <c r="H28" s="82">
        <f t="shared" si="0"/>
        <v>50698</v>
      </c>
    </row>
    <row r="29" spans="1:8" ht="15.75">
      <c r="A29" s="79"/>
      <c r="B29" s="277" t="s">
        <v>184</v>
      </c>
      <c r="C29" s="277"/>
      <c r="D29" s="277"/>
      <c r="E29" s="99" t="s">
        <v>9</v>
      </c>
      <c r="F29" s="83" t="s">
        <v>82</v>
      </c>
      <c r="G29" s="81">
        <v>0.31</v>
      </c>
      <c r="H29" s="82">
        <f t="shared" si="0"/>
        <v>3862</v>
      </c>
    </row>
    <row r="30" spans="1:8" ht="15.75">
      <c r="A30" s="79"/>
      <c r="B30" s="277" t="s">
        <v>175</v>
      </c>
      <c r="C30" s="277"/>
      <c r="D30" s="277"/>
      <c r="E30" s="99" t="s">
        <v>9</v>
      </c>
      <c r="F30" s="83" t="s">
        <v>82</v>
      </c>
      <c r="G30" s="169">
        <v>0</v>
      </c>
      <c r="H30" s="82">
        <f t="shared" si="0"/>
        <v>0</v>
      </c>
    </row>
    <row r="31" spans="1:8" ht="25.5">
      <c r="A31" s="79"/>
      <c r="B31" s="282" t="s">
        <v>22</v>
      </c>
      <c r="C31" s="282"/>
      <c r="D31" s="282"/>
      <c r="E31" s="98" t="s">
        <v>36</v>
      </c>
      <c r="F31" s="83" t="s">
        <v>82</v>
      </c>
      <c r="G31" s="81">
        <v>1.54</v>
      </c>
      <c r="H31" s="82">
        <f t="shared" si="0"/>
        <v>19183</v>
      </c>
    </row>
    <row r="32" spans="1:8" ht="15.75">
      <c r="A32" s="79"/>
      <c r="B32" s="283" t="s">
        <v>31</v>
      </c>
      <c r="C32" s="284"/>
      <c r="D32" s="285"/>
      <c r="E32" s="14"/>
      <c r="F32" s="83"/>
      <c r="G32" s="21">
        <f>SUM(G19:G31)</f>
        <v>13.82</v>
      </c>
      <c r="H32" s="82">
        <f t="shared" si="0"/>
        <v>172150</v>
      </c>
    </row>
    <row r="33" spans="1:8" ht="15.75" customHeight="1">
      <c r="A33" s="75" t="s">
        <v>230</v>
      </c>
      <c r="B33" s="269" t="s">
        <v>225</v>
      </c>
      <c r="C33" s="270"/>
      <c r="D33" s="270"/>
      <c r="E33" s="99" t="s">
        <v>232</v>
      </c>
      <c r="F33" s="27" t="s">
        <v>83</v>
      </c>
      <c r="G33" s="24">
        <v>1.54</v>
      </c>
      <c r="H33" s="82">
        <f t="shared" si="0"/>
        <v>19183</v>
      </c>
    </row>
    <row r="34" spans="1:8" ht="15.75" customHeight="1">
      <c r="A34" s="75" t="s">
        <v>231</v>
      </c>
      <c r="B34" s="286" t="s">
        <v>186</v>
      </c>
      <c r="C34" s="286"/>
      <c r="D34" s="286"/>
      <c r="E34" s="286"/>
      <c r="F34" s="286"/>
      <c r="G34" s="21">
        <f>SUM(G32:G33)</f>
        <v>15.36</v>
      </c>
      <c r="H34" s="82">
        <f t="shared" si="0"/>
        <v>191333</v>
      </c>
    </row>
    <row r="35" spans="1:8" ht="16.5" thickBot="1">
      <c r="A35" s="105" t="s">
        <v>99</v>
      </c>
      <c r="B35" s="287" t="s">
        <v>219</v>
      </c>
      <c r="C35" s="288"/>
      <c r="D35" s="289"/>
      <c r="E35" s="161" t="s">
        <v>232</v>
      </c>
      <c r="F35" s="107" t="s">
        <v>83</v>
      </c>
      <c r="G35" s="114">
        <v>0.8</v>
      </c>
      <c r="H35" s="170">
        <f t="shared" si="0"/>
        <v>9965</v>
      </c>
    </row>
    <row r="36" spans="2:8" ht="15.75" customHeight="1">
      <c r="B36" s="299" t="s">
        <v>233</v>
      </c>
      <c r="C36" s="299"/>
      <c r="D36" s="299"/>
      <c r="E36" s="299"/>
      <c r="F36" s="299"/>
      <c r="G36" s="299"/>
      <c r="H36" s="162"/>
    </row>
    <row r="37" spans="1:7" ht="15.75" hidden="1">
      <c r="A37" s="300" t="s">
        <v>234</v>
      </c>
      <c r="B37" s="300"/>
      <c r="C37" s="300"/>
      <c r="D37" s="300"/>
      <c r="G37"/>
    </row>
    <row r="38" spans="1:7" ht="15.75" hidden="1">
      <c r="A38" s="296" t="s">
        <v>235</v>
      </c>
      <c r="B38" s="296"/>
      <c r="C38" s="296"/>
      <c r="D38" s="296"/>
      <c r="G38"/>
    </row>
    <row r="39" spans="1:7" ht="15.75" hidden="1">
      <c r="A39" s="296" t="s">
        <v>236</v>
      </c>
      <c r="B39" s="296"/>
      <c r="C39" s="296"/>
      <c r="D39" s="296"/>
      <c r="G39"/>
    </row>
    <row r="40" spans="1:7" ht="15.75">
      <c r="A40" s="159"/>
      <c r="B40" s="159"/>
      <c r="C40" s="159"/>
      <c r="D40" s="159"/>
      <c r="G40"/>
    </row>
    <row r="41" spans="2:7" ht="15.75">
      <c r="B41" s="34" t="s">
        <v>239</v>
      </c>
      <c r="C41" s="34"/>
      <c r="D41" s="34"/>
      <c r="E41" s="34" t="s">
        <v>237</v>
      </c>
      <c r="F41" s="34"/>
      <c r="G41"/>
    </row>
    <row r="42" ht="15.75">
      <c r="G42"/>
    </row>
    <row r="43" spans="2:7" ht="15.75">
      <c r="B43" s="34" t="s">
        <v>240</v>
      </c>
      <c r="C43" s="34"/>
      <c r="D43" s="34"/>
      <c r="E43" t="s">
        <v>238</v>
      </c>
      <c r="G43"/>
    </row>
  </sheetData>
  <mergeCells count="30">
    <mergeCell ref="B12:D12"/>
    <mergeCell ref="B14:F14"/>
    <mergeCell ref="B15:F15"/>
    <mergeCell ref="B16:F16"/>
    <mergeCell ref="B17:F17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5:D35"/>
    <mergeCell ref="B29:D29"/>
    <mergeCell ref="B30:D30"/>
    <mergeCell ref="B31:D31"/>
    <mergeCell ref="B32:D32"/>
    <mergeCell ref="A39:D39"/>
    <mergeCell ref="B13:D13"/>
    <mergeCell ref="D1:H1"/>
    <mergeCell ref="A4:H4"/>
    <mergeCell ref="B6:E6"/>
    <mergeCell ref="B33:D33"/>
    <mergeCell ref="B36:G36"/>
    <mergeCell ref="A37:D37"/>
    <mergeCell ref="A38:D38"/>
    <mergeCell ref="B34:F34"/>
  </mergeCells>
  <printOptions horizontalCentered="1"/>
  <pageMargins left="0.7874015748031497" right="0.1968503937007874" top="0.5905511811023623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B22">
      <selection activeCell="I22" sqref="I1:J16384"/>
    </sheetView>
  </sheetViews>
  <sheetFormatPr defaultColWidth="9.00390625" defaultRowHeight="15.75"/>
  <cols>
    <col min="1" max="1" width="8.125" style="0" customWidth="1"/>
    <col min="2" max="2" width="26.25390625" style="0" customWidth="1"/>
    <col min="3" max="3" width="3.75390625" style="0" customWidth="1"/>
    <col min="4" max="4" width="18.50390625" style="0" customWidth="1"/>
    <col min="5" max="5" width="16.25390625" style="0" customWidth="1"/>
    <col min="6" max="6" width="20.875" style="93" hidden="1" customWidth="1"/>
    <col min="7" max="7" width="10.00390625" style="0" hidden="1" customWidth="1"/>
    <col min="8" max="8" width="11.125" style="0" hidden="1" customWidth="1"/>
    <col min="9" max="9" width="12.375" style="0" hidden="1" customWidth="1"/>
    <col min="10" max="10" width="13.125" style="0" hidden="1" customWidth="1"/>
    <col min="11" max="11" width="21.25390625" style="0" customWidth="1"/>
    <col min="12" max="13" width="0" style="0" hidden="1" customWidth="1"/>
  </cols>
  <sheetData>
    <row r="1" spans="1:11" ht="99.75" customHeight="1">
      <c r="A1" s="219" t="s">
        <v>247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55.5" customHeight="1">
      <c r="A2" s="236" t="s">
        <v>248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8" ht="31.5">
      <c r="A3" s="1" t="s">
        <v>80</v>
      </c>
      <c r="B3" s="1" t="s">
        <v>81</v>
      </c>
      <c r="C3" s="2"/>
      <c r="D3" s="171" t="s">
        <v>249</v>
      </c>
      <c r="E3" s="4">
        <v>2076.1</v>
      </c>
      <c r="F3" s="96"/>
      <c r="G3" s="96"/>
      <c r="H3" s="96"/>
    </row>
    <row r="4" spans="2:6" ht="15.75">
      <c r="B4" s="3" t="s">
        <v>1</v>
      </c>
      <c r="C4" s="37">
        <v>9</v>
      </c>
      <c r="D4" s="2" t="s">
        <v>2</v>
      </c>
      <c r="E4" s="4">
        <v>48</v>
      </c>
      <c r="F4"/>
    </row>
    <row r="5" spans="2:8" ht="15.75">
      <c r="B5" s="3" t="s">
        <v>3</v>
      </c>
      <c r="C5" s="4">
        <v>1</v>
      </c>
      <c r="D5" s="2" t="s">
        <v>4</v>
      </c>
      <c r="E5" s="2" t="s">
        <v>17</v>
      </c>
      <c r="F5" s="2"/>
      <c r="G5" s="2"/>
      <c r="H5" s="2"/>
    </row>
    <row r="6" spans="2:6" ht="15.75">
      <c r="B6" s="3"/>
      <c r="C6" s="4"/>
      <c r="D6" s="2" t="s">
        <v>5</v>
      </c>
      <c r="E6" s="2" t="s">
        <v>16</v>
      </c>
      <c r="F6"/>
    </row>
    <row r="7" spans="1:13" ht="49.5" customHeight="1">
      <c r="A7" s="22" t="s">
        <v>61</v>
      </c>
      <c r="B7" s="243" t="s">
        <v>166</v>
      </c>
      <c r="C7" s="244"/>
      <c r="D7" s="245"/>
      <c r="E7" s="11" t="s">
        <v>6</v>
      </c>
      <c r="F7" s="11" t="s">
        <v>7</v>
      </c>
      <c r="G7" s="33" t="s">
        <v>250</v>
      </c>
      <c r="H7" s="172" t="s">
        <v>251</v>
      </c>
      <c r="I7" s="266" t="s">
        <v>252</v>
      </c>
      <c r="J7" s="267"/>
      <c r="K7" s="268"/>
      <c r="L7" s="52">
        <v>12</v>
      </c>
      <c r="M7" s="173" t="s">
        <v>253</v>
      </c>
    </row>
    <row r="8" spans="1:11" ht="15.75">
      <c r="A8" s="23">
        <v>1</v>
      </c>
      <c r="B8" s="228"/>
      <c r="C8" s="229"/>
      <c r="D8" s="229"/>
      <c r="E8" s="229"/>
      <c r="F8" s="230"/>
      <c r="G8" s="174"/>
      <c r="H8" s="174"/>
      <c r="I8" s="175" t="s">
        <v>190</v>
      </c>
      <c r="J8" s="117" t="s">
        <v>191</v>
      </c>
      <c r="K8" s="117" t="s">
        <v>192</v>
      </c>
    </row>
    <row r="9" spans="1:11" ht="15.75">
      <c r="A9" s="23"/>
      <c r="B9" s="228" t="s">
        <v>167</v>
      </c>
      <c r="C9" s="229"/>
      <c r="D9" s="229"/>
      <c r="E9" s="229"/>
      <c r="F9" s="230"/>
      <c r="G9" s="53"/>
      <c r="H9" s="53"/>
      <c r="I9" s="53"/>
      <c r="J9" s="53"/>
      <c r="K9" s="117"/>
    </row>
    <row r="10" spans="1:11" ht="15.75" customHeight="1">
      <c r="A10" s="97"/>
      <c r="B10" s="246" t="s">
        <v>168</v>
      </c>
      <c r="C10" s="246"/>
      <c r="D10" s="246"/>
      <c r="E10" s="246"/>
      <c r="F10" s="246"/>
      <c r="G10" s="15"/>
      <c r="H10" s="15"/>
      <c r="I10" s="176">
        <v>357780.54</v>
      </c>
      <c r="J10" s="118"/>
      <c r="K10" s="95">
        <f>I10+J10</f>
        <v>357780.54</v>
      </c>
    </row>
    <row r="11" spans="1:11" ht="15.75" customHeight="1">
      <c r="A11" s="97"/>
      <c r="B11" s="246" t="s">
        <v>169</v>
      </c>
      <c r="C11" s="246"/>
      <c r="D11" s="246"/>
      <c r="E11" s="246"/>
      <c r="F11" s="246"/>
      <c r="G11" s="15"/>
      <c r="H11" s="15"/>
      <c r="I11" s="16">
        <v>17649.15</v>
      </c>
      <c r="J11" s="118"/>
      <c r="K11" s="95">
        <f>I11+J11</f>
        <v>17649.15</v>
      </c>
    </row>
    <row r="12" spans="1:11" ht="15.75" customHeight="1">
      <c r="A12" s="23"/>
      <c r="B12" s="246" t="s">
        <v>170</v>
      </c>
      <c r="C12" s="246"/>
      <c r="D12" s="246"/>
      <c r="E12" s="246"/>
      <c r="F12" s="246"/>
      <c r="G12" s="15"/>
      <c r="H12" s="15"/>
      <c r="I12" s="176"/>
      <c r="J12" s="118">
        <v>29209.73</v>
      </c>
      <c r="K12" s="95">
        <f>I12+J12</f>
        <v>29209.73</v>
      </c>
    </row>
    <row r="13" spans="1:11" ht="15.75">
      <c r="A13" s="23"/>
      <c r="B13" s="246" t="s">
        <v>254</v>
      </c>
      <c r="C13" s="246"/>
      <c r="D13" s="246"/>
      <c r="E13" s="246"/>
      <c r="F13" s="246"/>
      <c r="G13" s="15"/>
      <c r="H13" s="15"/>
      <c r="I13" s="176">
        <v>0</v>
      </c>
      <c r="J13" s="177">
        <v>0</v>
      </c>
      <c r="K13" s="95">
        <f>I13+J13</f>
        <v>0</v>
      </c>
    </row>
    <row r="14" spans="1:11" ht="15.75" customHeight="1">
      <c r="A14" s="23"/>
      <c r="B14" s="233" t="s">
        <v>171</v>
      </c>
      <c r="C14" s="233"/>
      <c r="D14" s="233"/>
      <c r="E14" s="233"/>
      <c r="F14" s="233"/>
      <c r="G14" s="15"/>
      <c r="H14" s="15"/>
      <c r="I14" s="178">
        <f>SUM(I10:I12)</f>
        <v>375429.69</v>
      </c>
      <c r="J14" s="179">
        <f>SUM(J10:J12)</f>
        <v>29209.73</v>
      </c>
      <c r="K14" s="178">
        <f>SUM(K10:K13)</f>
        <v>404639.42</v>
      </c>
    </row>
    <row r="15" spans="1:11" ht="18.75" customHeight="1">
      <c r="A15" s="23">
        <v>2</v>
      </c>
      <c r="B15" s="301" t="s">
        <v>66</v>
      </c>
      <c r="C15" s="301"/>
      <c r="D15" s="301"/>
      <c r="E15" s="301"/>
      <c r="F15" s="301"/>
      <c r="G15" s="15"/>
      <c r="H15" s="15"/>
      <c r="I15" s="176"/>
      <c r="J15" s="118"/>
      <c r="K15" s="35"/>
    </row>
    <row r="16" spans="1:11" ht="15.75">
      <c r="A16" s="23" t="s">
        <v>145</v>
      </c>
      <c r="B16" s="180" t="s">
        <v>67</v>
      </c>
      <c r="C16" s="180"/>
      <c r="D16" s="180"/>
      <c r="E16" s="180"/>
      <c r="F16" s="120"/>
      <c r="G16" s="175"/>
      <c r="H16" s="175"/>
      <c r="I16" s="175"/>
      <c r="J16" s="157"/>
      <c r="K16" s="117"/>
    </row>
    <row r="17" spans="1:11" ht="33.75" customHeight="1">
      <c r="A17" s="26"/>
      <c r="B17" s="248" t="s">
        <v>255</v>
      </c>
      <c r="C17" s="248"/>
      <c r="D17" s="248"/>
      <c r="E17" s="181" t="s">
        <v>33</v>
      </c>
      <c r="F17" s="80" t="s">
        <v>25</v>
      </c>
      <c r="G17" s="81">
        <v>1.22</v>
      </c>
      <c r="H17" s="81">
        <v>1.29</v>
      </c>
      <c r="I17" s="182">
        <f>ROUND($E$3*G17*6,2)+ROUND($E$3*H17*($L$7-6),2)</f>
        <v>31266.059999999998</v>
      </c>
      <c r="J17" s="183"/>
      <c r="K17" s="184">
        <f>SUM(I17:J17)</f>
        <v>31266.059999999998</v>
      </c>
    </row>
    <row r="18" spans="1:11" ht="17.25" customHeight="1">
      <c r="A18" s="23"/>
      <c r="B18" s="253" t="s">
        <v>18</v>
      </c>
      <c r="C18" s="253"/>
      <c r="D18" s="253"/>
      <c r="E18" s="181" t="s">
        <v>33</v>
      </c>
      <c r="F18" s="80" t="s">
        <v>20</v>
      </c>
      <c r="G18" s="81">
        <v>0.28</v>
      </c>
      <c r="H18" s="81">
        <v>0.3</v>
      </c>
      <c r="I18" s="182">
        <f>ROUND($E$3*G18*6,2)+ROUND($E$3*H18*($L$7-6),2)</f>
        <v>7224.83</v>
      </c>
      <c r="J18" s="183"/>
      <c r="K18" s="184">
        <f>SUM(I18:J18)</f>
        <v>7224.83</v>
      </c>
    </row>
    <row r="19" spans="1:11" ht="20.25" customHeight="1">
      <c r="A19" s="23"/>
      <c r="B19" s="247" t="s">
        <v>24</v>
      </c>
      <c r="C19" s="247"/>
      <c r="D19" s="247"/>
      <c r="E19" s="185" t="s">
        <v>172</v>
      </c>
      <c r="F19" s="83" t="s">
        <v>21</v>
      </c>
      <c r="G19" s="81">
        <v>0.99</v>
      </c>
      <c r="H19" s="81">
        <v>1.05</v>
      </c>
      <c r="I19" s="182">
        <f>K19-J19</f>
        <v>18264.62</v>
      </c>
      <c r="J19" s="183"/>
      <c r="K19" s="186">
        <v>18264.62</v>
      </c>
    </row>
    <row r="20" spans="1:11" ht="20.25" customHeight="1">
      <c r="A20" s="26"/>
      <c r="B20" s="248" t="s">
        <v>32</v>
      </c>
      <c r="C20" s="248"/>
      <c r="D20" s="248"/>
      <c r="E20" s="187" t="s">
        <v>9</v>
      </c>
      <c r="F20" s="84" t="s">
        <v>10</v>
      </c>
      <c r="G20" s="81">
        <v>0.51</v>
      </c>
      <c r="H20" s="81">
        <v>0.54</v>
      </c>
      <c r="I20" s="182">
        <f>ROUND($E$3*G20*6,2)+ROUND($E$3*H20*($L$7-6),2)</f>
        <v>13079.43</v>
      </c>
      <c r="J20" s="183"/>
      <c r="K20" s="184">
        <f>SUM(I20:J20)</f>
        <v>13079.43</v>
      </c>
    </row>
    <row r="21" spans="1:11" ht="65.25" customHeight="1">
      <c r="A21" s="23"/>
      <c r="B21" s="247" t="s">
        <v>28</v>
      </c>
      <c r="C21" s="247"/>
      <c r="D21" s="247"/>
      <c r="E21" s="185" t="s">
        <v>173</v>
      </c>
      <c r="F21" s="83" t="s">
        <v>26</v>
      </c>
      <c r="G21" s="81">
        <v>0.12</v>
      </c>
      <c r="H21" s="81">
        <v>0.13</v>
      </c>
      <c r="I21" s="182">
        <f>K21-J21</f>
        <v>2445</v>
      </c>
      <c r="J21" s="183"/>
      <c r="K21" s="186">
        <v>2445</v>
      </c>
    </row>
    <row r="22" spans="1:11" ht="20.25" customHeight="1">
      <c r="A22" s="26"/>
      <c r="B22" s="247" t="s">
        <v>11</v>
      </c>
      <c r="C22" s="247"/>
      <c r="D22" s="247"/>
      <c r="E22" s="185" t="s">
        <v>9</v>
      </c>
      <c r="F22" s="83" t="s">
        <v>12</v>
      </c>
      <c r="G22" s="81">
        <v>2.22</v>
      </c>
      <c r="H22" s="81">
        <v>2.35</v>
      </c>
      <c r="I22" s="182">
        <f>ROUND($E$3*G22*6,2)+ROUND($E$3*H22*($L$7-6),2)</f>
        <v>56926.66</v>
      </c>
      <c r="J22" s="183"/>
      <c r="K22" s="184">
        <f>SUM(I22:J22)</f>
        <v>56926.66</v>
      </c>
    </row>
    <row r="23" spans="1:11" ht="20.25" customHeight="1">
      <c r="A23" s="26"/>
      <c r="B23" s="247" t="s">
        <v>27</v>
      </c>
      <c r="C23" s="252"/>
      <c r="D23" s="252"/>
      <c r="E23" s="188" t="s">
        <v>13</v>
      </c>
      <c r="F23" s="77" t="s">
        <v>14</v>
      </c>
      <c r="G23" s="81">
        <v>0.05</v>
      </c>
      <c r="H23" s="81">
        <v>0.05</v>
      </c>
      <c r="I23" s="182">
        <f>K23-J23</f>
        <v>185.4</v>
      </c>
      <c r="J23" s="183"/>
      <c r="K23" s="186">
        <v>185.4</v>
      </c>
    </row>
    <row r="24" spans="1:11" ht="54" customHeight="1">
      <c r="A24" s="23"/>
      <c r="B24" s="247" t="s">
        <v>72</v>
      </c>
      <c r="C24" s="247"/>
      <c r="D24" s="247"/>
      <c r="E24" s="98" t="s">
        <v>245</v>
      </c>
      <c r="F24" s="119" t="s">
        <v>256</v>
      </c>
      <c r="G24" s="81">
        <v>2.15</v>
      </c>
      <c r="H24" s="81">
        <v>2.28</v>
      </c>
      <c r="I24" s="182">
        <f aca="true" t="shared" si="0" ref="I24:I29">ROUND($E$3*G24*6,2)+ROUND($E$3*H24*($L$7-6),2)</f>
        <v>55182.74</v>
      </c>
      <c r="J24" s="183"/>
      <c r="K24" s="184">
        <f>SUM(I24:J24)</f>
        <v>55182.74</v>
      </c>
    </row>
    <row r="25" spans="1:11" ht="26.25" customHeight="1">
      <c r="A25" s="23"/>
      <c r="B25" s="253" t="s">
        <v>15</v>
      </c>
      <c r="C25" s="253"/>
      <c r="D25" s="253"/>
      <c r="E25" s="181" t="s">
        <v>36</v>
      </c>
      <c r="F25" s="119" t="s">
        <v>256</v>
      </c>
      <c r="G25" s="81">
        <v>0.53</v>
      </c>
      <c r="H25" s="81">
        <v>0.56</v>
      </c>
      <c r="I25" s="182">
        <f>K25-J25</f>
        <v>294.3</v>
      </c>
      <c r="J25" s="183"/>
      <c r="K25" s="184">
        <v>294.3</v>
      </c>
    </row>
    <row r="26" spans="1:11" ht="30" customHeight="1">
      <c r="A26" s="23"/>
      <c r="B26" s="263" t="s">
        <v>37</v>
      </c>
      <c r="C26" s="260"/>
      <c r="D26" s="261"/>
      <c r="E26" s="181" t="s">
        <v>36</v>
      </c>
      <c r="F26" s="119" t="s">
        <v>256</v>
      </c>
      <c r="G26" s="102">
        <f>3.52-G27-G28</f>
        <v>3.23</v>
      </c>
      <c r="H26" s="81">
        <f>3.73-H27-H28</f>
        <v>3.42</v>
      </c>
      <c r="I26" s="182">
        <f t="shared" si="0"/>
        <v>82836.39</v>
      </c>
      <c r="J26" s="189"/>
      <c r="K26" s="184">
        <f>SUM(I26:J26)</f>
        <v>82836.39</v>
      </c>
    </row>
    <row r="27" spans="1:11" ht="26.25" customHeight="1">
      <c r="A27" s="26"/>
      <c r="B27" s="247" t="s">
        <v>174</v>
      </c>
      <c r="C27" s="247"/>
      <c r="D27" s="247"/>
      <c r="E27" s="185" t="s">
        <v>9</v>
      </c>
      <c r="F27" s="119" t="s">
        <v>256</v>
      </c>
      <c r="G27" s="102">
        <v>0.29</v>
      </c>
      <c r="H27" s="81">
        <v>0.31</v>
      </c>
      <c r="I27" s="182">
        <f t="shared" si="0"/>
        <v>7473.96</v>
      </c>
      <c r="J27" s="189"/>
      <c r="K27" s="184">
        <f>SUM(I27:J27)</f>
        <v>7473.96</v>
      </c>
    </row>
    <row r="28" spans="1:11" ht="17.25" customHeight="1">
      <c r="A28" s="23"/>
      <c r="B28" s="247" t="s">
        <v>175</v>
      </c>
      <c r="C28" s="247"/>
      <c r="D28" s="247"/>
      <c r="E28" s="185" t="s">
        <v>9</v>
      </c>
      <c r="F28" s="119" t="s">
        <v>256</v>
      </c>
      <c r="G28" s="102">
        <v>0</v>
      </c>
      <c r="H28" s="81">
        <v>0</v>
      </c>
      <c r="I28" s="182">
        <f t="shared" si="0"/>
        <v>0</v>
      </c>
      <c r="J28" s="189"/>
      <c r="K28" s="184">
        <f>SUM(I28:J28)</f>
        <v>0</v>
      </c>
    </row>
    <row r="29" spans="1:11" ht="30.75" customHeight="1">
      <c r="A29" s="23"/>
      <c r="B29" s="252" t="s">
        <v>22</v>
      </c>
      <c r="C29" s="252"/>
      <c r="D29" s="252"/>
      <c r="E29" s="99" t="s">
        <v>36</v>
      </c>
      <c r="F29" s="119" t="s">
        <v>256</v>
      </c>
      <c r="G29" s="77">
        <v>1.45</v>
      </c>
      <c r="H29" s="81">
        <v>1.54</v>
      </c>
      <c r="I29" s="182">
        <f t="shared" si="0"/>
        <v>37245.229999999996</v>
      </c>
      <c r="J29" s="183"/>
      <c r="K29" s="184">
        <f>SUM(I29:J29)</f>
        <v>37245.229999999996</v>
      </c>
    </row>
    <row r="30" spans="1:11" ht="15.75">
      <c r="A30" s="23"/>
      <c r="B30" s="262"/>
      <c r="C30" s="255"/>
      <c r="D30" s="256"/>
      <c r="E30" s="185"/>
      <c r="F30" s="119"/>
      <c r="G30" s="77"/>
      <c r="H30" s="77"/>
      <c r="I30" s="190"/>
      <c r="J30" s="177"/>
      <c r="K30" s="191"/>
    </row>
    <row r="31" spans="1:11" ht="15.75">
      <c r="A31" s="23"/>
      <c r="B31" s="302" t="s">
        <v>31</v>
      </c>
      <c r="C31" s="302"/>
      <c r="D31" s="302"/>
      <c r="E31" s="23"/>
      <c r="F31" s="119"/>
      <c r="G31" s="24">
        <f>SUM(G17:G29)</f>
        <v>13.039999999999997</v>
      </c>
      <c r="H31" s="24">
        <f>SUM(H17:H29)</f>
        <v>13.82</v>
      </c>
      <c r="I31" s="192">
        <f>SUM(I17:I30)</f>
        <v>312424.62</v>
      </c>
      <c r="J31" s="179"/>
      <c r="K31" s="192">
        <f>SUM(K17:K30)</f>
        <v>312424.62</v>
      </c>
    </row>
    <row r="32" spans="1:11" ht="15.75" hidden="1">
      <c r="A32" s="23"/>
      <c r="B32" s="259" t="s">
        <v>194</v>
      </c>
      <c r="C32" s="260"/>
      <c r="D32" s="261"/>
      <c r="E32" s="185" t="s">
        <v>9</v>
      </c>
      <c r="F32" s="119"/>
      <c r="G32" s="77"/>
      <c r="H32" s="77"/>
      <c r="I32" s="190"/>
      <c r="J32" s="177"/>
      <c r="K32" s="191"/>
    </row>
    <row r="33" spans="1:11" ht="21.75" customHeight="1" hidden="1">
      <c r="A33" s="23"/>
      <c r="B33" s="259" t="s">
        <v>195</v>
      </c>
      <c r="C33" s="260"/>
      <c r="D33" s="261"/>
      <c r="E33" s="181" t="s">
        <v>36</v>
      </c>
      <c r="F33" s="119"/>
      <c r="G33" s="77"/>
      <c r="H33" s="77"/>
      <c r="I33" s="190"/>
      <c r="J33" s="177"/>
      <c r="K33" s="191"/>
    </row>
    <row r="34" spans="1:11" ht="27.75" customHeight="1" hidden="1">
      <c r="A34" s="23"/>
      <c r="B34" s="262"/>
      <c r="C34" s="255"/>
      <c r="D34" s="256"/>
      <c r="E34" s="185"/>
      <c r="F34" s="119"/>
      <c r="G34" s="77"/>
      <c r="H34" s="77"/>
      <c r="I34" s="190"/>
      <c r="J34" s="177"/>
      <c r="K34" s="191"/>
    </row>
    <row r="35" spans="1:11" ht="26.25" customHeight="1">
      <c r="A35" s="23" t="s">
        <v>147</v>
      </c>
      <c r="B35" s="269" t="s">
        <v>176</v>
      </c>
      <c r="C35" s="270"/>
      <c r="D35" s="270"/>
      <c r="E35" s="271"/>
      <c r="F35" s="119" t="s">
        <v>256</v>
      </c>
      <c r="G35" s="24">
        <f>I35/E3/6</f>
        <v>18.562769937222036</v>
      </c>
      <c r="H35" s="24">
        <f>I35/E3/6</f>
        <v>18.562769937222036</v>
      </c>
      <c r="I35" s="194">
        <v>231229</v>
      </c>
      <c r="J35" s="195"/>
      <c r="K35" s="196">
        <f>SUM(I35:J35)</f>
        <v>231229</v>
      </c>
    </row>
    <row r="36" spans="1:11" ht="15" customHeight="1">
      <c r="A36" s="25"/>
      <c r="B36" s="257" t="s">
        <v>70</v>
      </c>
      <c r="C36" s="257"/>
      <c r="D36" s="257"/>
      <c r="E36" s="257"/>
      <c r="F36" s="257"/>
      <c r="G36" s="24">
        <f>SUM(G31:G35)</f>
        <v>31.602769937222035</v>
      </c>
      <c r="H36" s="24">
        <f>SUM(H31:H35)</f>
        <v>32.38276993722204</v>
      </c>
      <c r="I36" s="197">
        <f>SUM(I31:I35)</f>
        <v>543653.62</v>
      </c>
      <c r="J36" s="198"/>
      <c r="K36" s="198">
        <f>SUM(K31:K35)</f>
        <v>543653.62</v>
      </c>
    </row>
    <row r="37" spans="1:11" ht="14.25" customHeight="1">
      <c r="A37" s="23" t="s">
        <v>148</v>
      </c>
      <c r="B37" s="257" t="s">
        <v>177</v>
      </c>
      <c r="C37" s="257"/>
      <c r="D37" s="257"/>
      <c r="E37" s="257"/>
      <c r="F37" s="257"/>
      <c r="G37" s="24"/>
      <c r="H37" s="24"/>
      <c r="I37" s="199">
        <v>0</v>
      </c>
      <c r="J37" s="199"/>
      <c r="K37" s="196">
        <f>SUM(I37:J37)</f>
        <v>0</v>
      </c>
    </row>
    <row r="38" spans="1:11" ht="18.75">
      <c r="A38" s="25"/>
      <c r="B38" s="257" t="s">
        <v>178</v>
      </c>
      <c r="C38" s="257"/>
      <c r="D38" s="257"/>
      <c r="E38" s="257"/>
      <c r="F38" s="257"/>
      <c r="G38" s="24">
        <f>SUM(G36:G37)</f>
        <v>31.602769937222035</v>
      </c>
      <c r="H38" s="24">
        <f>SUM(H36:H37)</f>
        <v>32.38276993722204</v>
      </c>
      <c r="I38" s="197">
        <f>SUM(I36:I37)</f>
        <v>543653.62</v>
      </c>
      <c r="J38" s="198"/>
      <c r="K38" s="198">
        <f>SUM(K36:K37)</f>
        <v>543653.62</v>
      </c>
    </row>
    <row r="39" spans="1:11" ht="30.75" customHeight="1">
      <c r="A39" s="23">
        <v>3</v>
      </c>
      <c r="B39" s="263" t="s">
        <v>257</v>
      </c>
      <c r="C39" s="264"/>
      <c r="D39" s="264"/>
      <c r="E39" s="265"/>
      <c r="F39" s="200"/>
      <c r="G39" s="200"/>
      <c r="H39" s="201"/>
      <c r="I39" s="182">
        <f>I14-I38</f>
        <v>-168223.93</v>
      </c>
      <c r="J39" s="182"/>
      <c r="K39" s="179">
        <f>K14-K38</f>
        <v>-139014.2</v>
      </c>
    </row>
    <row r="40" spans="2:11" ht="27" customHeight="1">
      <c r="B40" s="202"/>
      <c r="C40" s="203"/>
      <c r="D40" s="203"/>
      <c r="E40" s="203"/>
      <c r="F40" s="203"/>
      <c r="G40" s="203"/>
      <c r="H40" s="203"/>
      <c r="I40" s="204"/>
      <c r="J40" s="205"/>
      <c r="K40" s="206"/>
    </row>
    <row r="41" spans="3:7" ht="15.75">
      <c r="C41" s="34"/>
      <c r="F41"/>
      <c r="G41" s="34"/>
    </row>
    <row r="42" spans="1:7" ht="15.75" customHeight="1">
      <c r="A42" s="70" t="s">
        <v>258</v>
      </c>
      <c r="D42" s="70"/>
      <c r="E42" s="70"/>
      <c r="F42" s="34"/>
      <c r="G42" s="34"/>
    </row>
    <row r="43" spans="2:6" ht="17.25" customHeight="1">
      <c r="B43" s="36" t="s">
        <v>79</v>
      </c>
      <c r="C43" s="34"/>
      <c r="D43" s="34"/>
      <c r="F43"/>
    </row>
    <row r="44" spans="2:9" ht="14.25" customHeight="1">
      <c r="B44" s="34" t="s">
        <v>259</v>
      </c>
      <c r="C44" s="34"/>
      <c r="D44" s="34"/>
      <c r="E44" s="34"/>
      <c r="F44" s="34"/>
      <c r="G44" s="34"/>
      <c r="H44" s="34"/>
      <c r="I44" s="34"/>
    </row>
    <row r="45" spans="2:6" ht="15.75" customHeight="1">
      <c r="B45" s="218" t="s">
        <v>87</v>
      </c>
      <c r="C45" s="218"/>
      <c r="D45" s="218"/>
      <c r="F45"/>
    </row>
    <row r="46" ht="15.75">
      <c r="F46"/>
    </row>
    <row r="47" ht="15.75">
      <c r="F47"/>
    </row>
  </sheetData>
  <mergeCells count="36">
    <mergeCell ref="B33:D33"/>
    <mergeCell ref="B34:D34"/>
    <mergeCell ref="B35:E35"/>
    <mergeCell ref="B29:D29"/>
    <mergeCell ref="B36:F36"/>
    <mergeCell ref="B39:E39"/>
    <mergeCell ref="B45:D45"/>
    <mergeCell ref="B37:F37"/>
    <mergeCell ref="B38:F38"/>
    <mergeCell ref="B31:D31"/>
    <mergeCell ref="B32:D32"/>
    <mergeCell ref="B25:D25"/>
    <mergeCell ref="B26:D26"/>
    <mergeCell ref="B27:D27"/>
    <mergeCell ref="B28:D28"/>
    <mergeCell ref="B22:D22"/>
    <mergeCell ref="B23:D23"/>
    <mergeCell ref="B24:D24"/>
    <mergeCell ref="B30:D30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A1:K1"/>
    <mergeCell ref="A2:K2"/>
    <mergeCell ref="B8:F8"/>
    <mergeCell ref="I7:K7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workbookViewId="0" topLeftCell="A1">
      <selection activeCell="A13" sqref="A13:V22"/>
    </sheetView>
  </sheetViews>
  <sheetFormatPr defaultColWidth="9.00390625" defaultRowHeight="15.75"/>
  <cols>
    <col min="1" max="1" width="11.875" style="0" customWidth="1"/>
    <col min="2" max="2" width="6.125" style="0" customWidth="1"/>
    <col min="3" max="3" width="11.875" style="0" customWidth="1"/>
    <col min="4" max="4" width="10.50390625" style="0" customWidth="1"/>
    <col min="5" max="5" width="11.50390625" style="0" customWidth="1"/>
    <col min="6" max="6" width="12.125" style="0" customWidth="1"/>
    <col min="7" max="7" width="10.375" style="0" customWidth="1"/>
    <col min="8" max="8" width="11.50390625" style="0" customWidth="1"/>
    <col min="9" max="9" width="11.625" style="0" customWidth="1"/>
    <col min="10" max="10" width="8.875" style="0" bestFit="1" customWidth="1"/>
    <col min="11" max="11" width="9.875" style="0" customWidth="1"/>
    <col min="12" max="13" width="11.875" style="0" customWidth="1"/>
    <col min="14" max="14" width="10.00390625" style="0" customWidth="1"/>
    <col min="15" max="15" width="11.125" style="0" customWidth="1"/>
    <col min="16" max="16" width="10.875" style="0" customWidth="1"/>
    <col min="17" max="17" width="11.375" style="0" bestFit="1" customWidth="1"/>
    <col min="18" max="18" width="11.375" style="0" customWidth="1"/>
    <col min="19" max="19" width="11.875" style="0" customWidth="1"/>
  </cols>
  <sheetData>
    <row r="1" spans="1:19" ht="105" customHeight="1">
      <c r="A1" s="308" t="s">
        <v>188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19" ht="15.75" customHeight="1">
      <c r="A2" s="275" t="s">
        <v>149</v>
      </c>
      <c r="B2" s="302" t="s">
        <v>150</v>
      </c>
      <c r="C2" s="302" t="s">
        <v>201</v>
      </c>
      <c r="D2" s="302"/>
      <c r="E2" s="302"/>
      <c r="F2" s="302"/>
      <c r="G2" s="302"/>
      <c r="H2" s="302"/>
      <c r="I2" s="302"/>
      <c r="J2" s="309" t="s">
        <v>202</v>
      </c>
      <c r="K2" s="309"/>
      <c r="L2" s="309"/>
      <c r="M2" s="310" t="s">
        <v>203</v>
      </c>
      <c r="N2" s="302" t="s">
        <v>151</v>
      </c>
      <c r="O2" s="302"/>
      <c r="P2" s="302"/>
      <c r="Q2" s="302"/>
      <c r="R2" s="302"/>
      <c r="S2" s="230" t="s">
        <v>215</v>
      </c>
    </row>
    <row r="3" spans="1:19" ht="15.75">
      <c r="A3" s="302"/>
      <c r="B3" s="302"/>
      <c r="C3" s="243" t="s">
        <v>152</v>
      </c>
      <c r="D3" s="244"/>
      <c r="E3" s="245"/>
      <c r="F3" s="243" t="s">
        <v>153</v>
      </c>
      <c r="G3" s="244"/>
      <c r="H3" s="245"/>
      <c r="I3" s="275" t="s">
        <v>154</v>
      </c>
      <c r="J3" s="303" t="s">
        <v>204</v>
      </c>
      <c r="K3" s="305" t="s">
        <v>205</v>
      </c>
      <c r="L3" s="303" t="s">
        <v>206</v>
      </c>
      <c r="M3" s="311"/>
      <c r="N3" s="275" t="s">
        <v>207</v>
      </c>
      <c r="O3" s="302" t="s">
        <v>155</v>
      </c>
      <c r="P3" s="302" t="s">
        <v>156</v>
      </c>
      <c r="Q3" s="302" t="s">
        <v>157</v>
      </c>
      <c r="R3" s="302" t="s">
        <v>158</v>
      </c>
      <c r="S3" s="230"/>
    </row>
    <row r="4" spans="1:19" ht="47.25" customHeight="1">
      <c r="A4" s="302"/>
      <c r="B4" s="302"/>
      <c r="C4" s="11" t="s">
        <v>159</v>
      </c>
      <c r="D4" s="23" t="s">
        <v>157</v>
      </c>
      <c r="E4" s="23" t="s">
        <v>158</v>
      </c>
      <c r="F4" s="11" t="s">
        <v>159</v>
      </c>
      <c r="G4" s="23" t="s">
        <v>157</v>
      </c>
      <c r="H4" s="23" t="s">
        <v>158</v>
      </c>
      <c r="I4" s="275"/>
      <c r="J4" s="304"/>
      <c r="K4" s="306"/>
      <c r="L4" s="304"/>
      <c r="M4" s="312"/>
      <c r="N4" s="302"/>
      <c r="O4" s="302"/>
      <c r="P4" s="302"/>
      <c r="Q4" s="302"/>
      <c r="R4" s="302"/>
      <c r="S4" s="230"/>
    </row>
    <row r="5" spans="1:19" ht="31.5">
      <c r="A5" s="23">
        <v>1</v>
      </c>
      <c r="B5" s="23">
        <v>2</v>
      </c>
      <c r="C5" s="11">
        <v>3</v>
      </c>
      <c r="D5" s="23">
        <v>4</v>
      </c>
      <c r="E5" s="23" t="s">
        <v>208</v>
      </c>
      <c r="F5" s="11">
        <v>6</v>
      </c>
      <c r="G5" s="23">
        <v>7</v>
      </c>
      <c r="H5" s="23" t="s">
        <v>209</v>
      </c>
      <c r="I5" s="11" t="s">
        <v>210</v>
      </c>
      <c r="J5" s="23">
        <v>10</v>
      </c>
      <c r="K5" s="23">
        <v>11</v>
      </c>
      <c r="L5" s="11">
        <v>12</v>
      </c>
      <c r="M5" s="11" t="s">
        <v>211</v>
      </c>
      <c r="N5" s="23">
        <v>14</v>
      </c>
      <c r="O5" s="11">
        <v>15</v>
      </c>
      <c r="P5" s="23">
        <v>16</v>
      </c>
      <c r="Q5" s="23">
        <v>17</v>
      </c>
      <c r="R5" s="11" t="s">
        <v>212</v>
      </c>
      <c r="S5" s="123" t="s">
        <v>213</v>
      </c>
    </row>
    <row r="6" spans="1:19" ht="15.75">
      <c r="A6" s="95"/>
      <c r="B6" s="52" t="s">
        <v>160</v>
      </c>
      <c r="C6" s="95">
        <f>'2008'!D9</f>
        <v>169638.51</v>
      </c>
      <c r="D6" s="95">
        <f>'2008'!D13</f>
        <v>9052.05</v>
      </c>
      <c r="E6" s="95">
        <f>SUM(C6:D6)</f>
        <v>178690.56</v>
      </c>
      <c r="F6" s="95">
        <f>'2008'!D10</f>
        <v>159696.42</v>
      </c>
      <c r="G6" s="95">
        <f>'2008'!D14</f>
        <v>9247.66</v>
      </c>
      <c r="H6" s="95">
        <f>SUM(F6:G6)</f>
        <v>168944.08000000002</v>
      </c>
      <c r="I6" s="54">
        <f>E6-H6</f>
        <v>9746.479999999981</v>
      </c>
      <c r="J6" s="95">
        <v>0</v>
      </c>
      <c r="K6" s="95">
        <v>0</v>
      </c>
      <c r="L6" s="95">
        <v>0</v>
      </c>
      <c r="M6" s="95">
        <f>H6+J6+K6+L6</f>
        <v>168944.08000000002</v>
      </c>
      <c r="N6" s="95">
        <f>'2008'!D23</f>
        <v>18660.236100000002</v>
      </c>
      <c r="O6" s="95">
        <f>'2008'!D24</f>
        <v>118746.957</v>
      </c>
      <c r="P6" s="95">
        <f>'2008'!D25</f>
        <v>82100</v>
      </c>
      <c r="Q6" s="54">
        <v>0</v>
      </c>
      <c r="R6" s="95">
        <f>SUM(N6:Q6)</f>
        <v>219507.1931</v>
      </c>
      <c r="S6" s="95">
        <f>M6-R6</f>
        <v>-50563.11309999999</v>
      </c>
    </row>
    <row r="7" spans="1:19" ht="15.75">
      <c r="A7" s="95">
        <f>S6</f>
        <v>-50563.11309999999</v>
      </c>
      <c r="B7" s="52" t="s">
        <v>161</v>
      </c>
      <c r="C7" s="95">
        <v>303418.39</v>
      </c>
      <c r="D7" s="95">
        <v>13927.59</v>
      </c>
      <c r="E7" s="95">
        <f>SUM(C7:D7)</f>
        <v>317345.98000000004</v>
      </c>
      <c r="F7" s="95">
        <v>302516.37</v>
      </c>
      <c r="G7" s="95">
        <v>13594.48</v>
      </c>
      <c r="H7" s="95">
        <f>SUM(F7:G7)</f>
        <v>316110.85</v>
      </c>
      <c r="I7" s="54">
        <f>E7-H7</f>
        <v>1235.1300000000629</v>
      </c>
      <c r="J7" s="95">
        <v>0</v>
      </c>
      <c r="K7" s="95">
        <v>0</v>
      </c>
      <c r="L7" s="95">
        <v>0</v>
      </c>
      <c r="M7" s="95">
        <f>H7+J7+K7+L7</f>
        <v>316110.85</v>
      </c>
      <c r="N7" s="95">
        <f>'отчет 2009'!H31</f>
        <v>31390.63</v>
      </c>
      <c r="O7" s="95">
        <f>'отчет 2009'!H32-'отчет 2009'!H31</f>
        <v>250128.51999999996</v>
      </c>
      <c r="P7" s="95">
        <f>'отчет 2009'!H33</f>
        <v>99820</v>
      </c>
      <c r="Q7" s="54">
        <v>0</v>
      </c>
      <c r="R7" s="95">
        <f>SUM(N7:Q7)</f>
        <v>381339.14999999997</v>
      </c>
      <c r="S7" s="95">
        <f>M7-R7</f>
        <v>-65228.29999999999</v>
      </c>
    </row>
    <row r="8" spans="1:19" ht="15.75">
      <c r="A8" s="95">
        <f>A7+S7</f>
        <v>-115791.41309999998</v>
      </c>
      <c r="B8" s="52" t="s">
        <v>162</v>
      </c>
      <c r="C8" s="95">
        <v>310782.91</v>
      </c>
      <c r="D8" s="95">
        <v>14286.67</v>
      </c>
      <c r="E8" s="95">
        <f>SUM(C8:D8)</f>
        <v>325069.57999999996</v>
      </c>
      <c r="F8" s="95">
        <f>'отчет 2010'!H10</f>
        <v>300494.72</v>
      </c>
      <c r="G8" s="95">
        <f>'отчет 2010'!H11</f>
        <v>14406.69</v>
      </c>
      <c r="H8" s="95">
        <f>SUM(F8:G8)</f>
        <v>314901.41</v>
      </c>
      <c r="I8" s="54">
        <f>E8-H8</f>
        <v>10168.169999999984</v>
      </c>
      <c r="J8" s="95">
        <f>'отчет 2010'!I12</f>
        <v>28696.2</v>
      </c>
      <c r="K8" s="95">
        <v>0</v>
      </c>
      <c r="L8" s="95">
        <v>0</v>
      </c>
      <c r="M8" s="95">
        <f>H8+J8+K8+L8</f>
        <v>343597.61</v>
      </c>
      <c r="N8" s="95">
        <f>'отчет 2010'!J29</f>
        <v>34260.25</v>
      </c>
      <c r="O8" s="95">
        <f>'отчет 2010'!J34-'отчет 2010'!J29</f>
        <v>269250.79600000003</v>
      </c>
      <c r="P8" s="95">
        <f>'отчет 2010'!H35</f>
        <v>34170</v>
      </c>
      <c r="Q8" s="54">
        <v>0</v>
      </c>
      <c r="R8" s="95">
        <f>SUM(N8:Q8)</f>
        <v>337681.04600000003</v>
      </c>
      <c r="S8" s="95">
        <f>M8-R8</f>
        <v>5916.563999999955</v>
      </c>
    </row>
    <row r="9" spans="1:19" ht="15.75">
      <c r="A9" s="95">
        <f>A8+S8</f>
        <v>-109874.84910000002</v>
      </c>
      <c r="B9" s="52" t="s">
        <v>163</v>
      </c>
      <c r="C9" s="95">
        <v>353486.55</v>
      </c>
      <c r="D9" s="95">
        <v>16942.8</v>
      </c>
      <c r="E9" s="95">
        <f>SUM(C9:D9)</f>
        <v>370429.35</v>
      </c>
      <c r="F9" s="95">
        <f>'отчет 2011'!H10</f>
        <v>342282.63</v>
      </c>
      <c r="G9" s="95">
        <f>'отчет 2011'!H11</f>
        <v>16356.1</v>
      </c>
      <c r="H9" s="95">
        <f>SUM(F9:G9)</f>
        <v>358638.73</v>
      </c>
      <c r="I9" s="54">
        <f>E9-H9</f>
        <v>11790.619999999995</v>
      </c>
      <c r="J9" s="95">
        <f>'отчет 2011'!I12</f>
        <v>29690.8</v>
      </c>
      <c r="K9" s="95"/>
      <c r="L9" s="95">
        <f>'отчет 2011'!H13</f>
        <v>1205285</v>
      </c>
      <c r="M9" s="95">
        <f>H9+J9+K9+L9</f>
        <v>1593614.53</v>
      </c>
      <c r="N9" s="95">
        <f>'отчет 2011'!J29</f>
        <v>39093.22</v>
      </c>
      <c r="O9" s="95">
        <f>'отчет 2011'!J32-'отчет 2011'!J29</f>
        <v>297566.05000000005</v>
      </c>
      <c r="P9" s="95">
        <f>'отчет 2011'!J36</f>
        <v>15537</v>
      </c>
      <c r="Q9" s="54">
        <f>'отчет 2011'!H38</f>
        <v>1269090</v>
      </c>
      <c r="R9" s="95">
        <f>SUM(N9:Q9)</f>
        <v>1621286.27</v>
      </c>
      <c r="S9" s="95">
        <f>M9-R9</f>
        <v>-27671.73999999999</v>
      </c>
    </row>
    <row r="10" spans="1:19" ht="15.75">
      <c r="A10" s="95">
        <f>A9+S9</f>
        <v>-137546.5891</v>
      </c>
      <c r="B10" s="52" t="s">
        <v>198</v>
      </c>
      <c r="C10" s="95">
        <v>363065.32</v>
      </c>
      <c r="D10" s="95">
        <v>17387.28</v>
      </c>
      <c r="E10" s="95">
        <f>SUM(C10:D10)</f>
        <v>380452.6</v>
      </c>
      <c r="F10" s="95">
        <f>отчет12стар!I10</f>
        <v>357780.54</v>
      </c>
      <c r="G10" s="95">
        <f>отчет12стар!I11</f>
        <v>17649.15</v>
      </c>
      <c r="H10" s="95">
        <f>SUM(F10:G10)</f>
        <v>375429.69</v>
      </c>
      <c r="I10" s="54">
        <f>E10-H10</f>
        <v>5022.909999999974</v>
      </c>
      <c r="J10" s="95">
        <f>отчет12стар!J12</f>
        <v>29209.73</v>
      </c>
      <c r="K10" s="95">
        <v>0</v>
      </c>
      <c r="L10" s="95">
        <v>0</v>
      </c>
      <c r="M10" s="95">
        <f>H10+J10+K10+L10</f>
        <v>404639.42</v>
      </c>
      <c r="N10" s="95">
        <f>отчет12стар!K29</f>
        <v>37245.229999999996</v>
      </c>
      <c r="O10" s="95">
        <f>отчет12стар!K31-отчет12стар!K29</f>
        <v>275179.39</v>
      </c>
      <c r="P10" s="95">
        <f>отчет12стар!I35</f>
        <v>231229</v>
      </c>
      <c r="Q10" s="54">
        <f>отчет12стар!I37</f>
        <v>0</v>
      </c>
      <c r="R10" s="95">
        <f>SUM(N10:Q10)</f>
        <v>543653.62</v>
      </c>
      <c r="S10" s="95">
        <f>M10-R10</f>
        <v>-139014.2</v>
      </c>
    </row>
    <row r="11" spans="1:19" ht="15.75">
      <c r="A11" s="35"/>
      <c r="B11" s="52" t="s">
        <v>214</v>
      </c>
      <c r="C11" s="32">
        <f aca="true" t="shared" si="0" ref="C11:S11">SUM(C6:C10)</f>
        <v>1500391.6800000002</v>
      </c>
      <c r="D11" s="32">
        <f t="shared" si="0"/>
        <v>71596.39</v>
      </c>
      <c r="E11" s="32">
        <f t="shared" si="0"/>
        <v>1571988.0699999998</v>
      </c>
      <c r="F11" s="32">
        <f t="shared" si="0"/>
        <v>1462770.6800000002</v>
      </c>
      <c r="G11" s="32">
        <f t="shared" si="0"/>
        <v>71254.08</v>
      </c>
      <c r="H11" s="32">
        <f t="shared" si="0"/>
        <v>1534024.7599999998</v>
      </c>
      <c r="I11" s="32">
        <f t="shared" si="0"/>
        <v>37963.31</v>
      </c>
      <c r="J11" s="32">
        <f t="shared" si="0"/>
        <v>87596.73</v>
      </c>
      <c r="K11" s="32">
        <f t="shared" si="0"/>
        <v>0</v>
      </c>
      <c r="L11" s="32">
        <f t="shared" si="0"/>
        <v>1205285</v>
      </c>
      <c r="M11" s="32">
        <f t="shared" si="0"/>
        <v>2826906.49</v>
      </c>
      <c r="N11" s="32">
        <f t="shared" si="0"/>
        <v>160649.5661</v>
      </c>
      <c r="O11" s="32">
        <f t="shared" si="0"/>
        <v>1210871.713</v>
      </c>
      <c r="P11" s="32">
        <f t="shared" si="0"/>
        <v>462856</v>
      </c>
      <c r="Q11" s="32">
        <f t="shared" si="0"/>
        <v>1269090</v>
      </c>
      <c r="R11" s="32">
        <f t="shared" si="0"/>
        <v>3103467.2791</v>
      </c>
      <c r="S11" s="32">
        <f t="shared" si="0"/>
        <v>-276560.78910000005</v>
      </c>
    </row>
    <row r="13" spans="1:8" ht="18.75" customHeight="1">
      <c r="A13" s="307" t="s">
        <v>260</v>
      </c>
      <c r="B13" s="307"/>
      <c r="C13" s="307"/>
      <c r="D13" s="307"/>
      <c r="E13" s="307" t="s">
        <v>261</v>
      </c>
      <c r="F13" s="307"/>
      <c r="G13" s="307"/>
      <c r="H13" s="307"/>
    </row>
    <row r="14" spans="1:8" ht="18.75">
      <c r="A14" s="207"/>
      <c r="B14" s="207"/>
      <c r="C14" s="207"/>
      <c r="D14" s="207"/>
      <c r="E14" s="207"/>
      <c r="F14" s="207"/>
      <c r="G14" s="207"/>
      <c r="H14" s="207"/>
    </row>
    <row r="15" spans="1:8" ht="18.75">
      <c r="A15" s="208"/>
      <c r="B15" s="209"/>
      <c r="C15" s="209"/>
      <c r="D15" s="208"/>
      <c r="E15" s="208"/>
      <c r="F15" s="208"/>
      <c r="G15" s="208"/>
      <c r="H15" s="208"/>
    </row>
    <row r="16" spans="1:8" ht="18.75">
      <c r="A16" s="207" t="s">
        <v>262</v>
      </c>
      <c r="B16" s="207"/>
      <c r="C16" s="207"/>
      <c r="D16" s="208"/>
      <c r="E16" s="208"/>
      <c r="F16" s="208"/>
      <c r="G16" s="208"/>
      <c r="H16" s="208"/>
    </row>
    <row r="17" spans="1:8" ht="18.75">
      <c r="A17" s="207" t="s">
        <v>263</v>
      </c>
      <c r="B17" s="207"/>
      <c r="C17" s="207"/>
      <c r="D17" s="207"/>
      <c r="E17" s="207"/>
      <c r="F17" s="208"/>
      <c r="G17" s="208"/>
      <c r="H17" s="208"/>
    </row>
    <row r="18" spans="1:8" ht="18.75" customHeight="1">
      <c r="A18" s="34" t="s">
        <v>264</v>
      </c>
      <c r="B18" s="34"/>
      <c r="C18" s="34"/>
      <c r="D18" s="34"/>
      <c r="E18" s="307" t="s">
        <v>265</v>
      </c>
      <c r="F18" s="307"/>
      <c r="G18" s="307"/>
      <c r="H18" s="208"/>
    </row>
    <row r="19" spans="1:8" ht="15.75">
      <c r="A19" s="208"/>
      <c r="B19" s="208"/>
      <c r="C19" s="208"/>
      <c r="D19" s="208"/>
      <c r="E19" s="208"/>
      <c r="F19" s="208"/>
      <c r="G19" s="208"/>
      <c r="H19" s="208"/>
    </row>
    <row r="20" spans="1:8" ht="15.75">
      <c r="A20" s="208"/>
      <c r="B20" s="208"/>
      <c r="C20" s="208"/>
      <c r="D20" s="208"/>
      <c r="E20" s="208"/>
      <c r="F20" s="208"/>
      <c r="G20" s="208"/>
      <c r="H20" s="208"/>
    </row>
    <row r="21" spans="1:8" ht="15.75">
      <c r="A21" s="208"/>
      <c r="B21" s="208"/>
      <c r="C21" s="208"/>
      <c r="D21" s="208"/>
      <c r="E21" s="208"/>
      <c r="F21" s="208"/>
      <c r="G21" s="208"/>
      <c r="H21" s="208"/>
    </row>
    <row r="22" spans="1:8" ht="15.75">
      <c r="A22" s="208" t="s">
        <v>266</v>
      </c>
      <c r="B22" s="208"/>
      <c r="C22" s="208"/>
      <c r="D22" s="208"/>
      <c r="E22" s="208"/>
      <c r="F22" s="208"/>
      <c r="G22" s="208"/>
      <c r="H22" s="208"/>
    </row>
  </sheetData>
  <mergeCells count="22">
    <mergeCell ref="A13:D13"/>
    <mergeCell ref="E13:H13"/>
    <mergeCell ref="E18:G18"/>
    <mergeCell ref="A1:S1"/>
    <mergeCell ref="J2:L2"/>
    <mergeCell ref="M2:M4"/>
    <mergeCell ref="N2:R2"/>
    <mergeCell ref="S2:S4"/>
    <mergeCell ref="O3:O4"/>
    <mergeCell ref="P3:P4"/>
    <mergeCell ref="Q3:Q4"/>
    <mergeCell ref="R3:R4"/>
    <mergeCell ref="K3:K4"/>
    <mergeCell ref="L3:L4"/>
    <mergeCell ref="N3:N4"/>
    <mergeCell ref="J3:J4"/>
    <mergeCell ref="A2:A4"/>
    <mergeCell ref="B2:B4"/>
    <mergeCell ref="C2:I2"/>
    <mergeCell ref="C3:E3"/>
    <mergeCell ref="F3:H3"/>
    <mergeCell ref="I3:I4"/>
  </mergeCells>
  <printOptions/>
  <pageMargins left="0.2362204724409449" right="0" top="0" bottom="0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2013-03-14T09:15:56Z</cp:lastPrinted>
  <dcterms:created xsi:type="dcterms:W3CDTF">2009-08-26T03:25:10Z</dcterms:created>
  <dcterms:modified xsi:type="dcterms:W3CDTF">2013-03-28T09:30:49Z</dcterms:modified>
  <cp:category/>
  <cp:version/>
  <cp:contentType/>
  <cp:contentStatus/>
</cp:coreProperties>
</file>