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07 12г." sheetId="7" state="hidden" r:id="rId7"/>
    <sheet name="отчет12стар" sheetId="8" r:id="rId8"/>
    <sheet name="накопит" sheetId="9" state="hidden" r:id="rId9"/>
  </sheets>
  <definedNames>
    <definedName name="_xlnm.Print_Area" localSheetId="2">'отчет 2010'!$A$1:$J$44</definedName>
  </definedNames>
  <calcPr fullCalcOnLoad="1"/>
</workbook>
</file>

<file path=xl/sharedStrings.xml><?xml version="1.0" encoding="utf-8"?>
<sst xmlns="http://schemas.openxmlformats.org/spreadsheetml/2006/main" count="709" uniqueCount="258">
  <si>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</si>
  <si>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</si>
  <si>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</si>
  <si>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</si>
  <si>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</si>
  <si>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</si>
  <si>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</si>
  <si>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</si>
  <si>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</si>
  <si>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</si>
  <si>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</si>
  <si>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</si>
  <si>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</si>
  <si>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</si>
  <si>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</si>
  <si>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</si>
  <si>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</si>
  <si>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</si>
  <si>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</si>
  <si>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</si>
  <si>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</si>
  <si>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</si>
  <si>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</si>
  <si>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</si>
  <si>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</si>
  <si>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</si>
  <si>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</si>
  <si>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</si>
  <si>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</si>
  <si>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</si>
  <si>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</si>
  <si>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</si>
  <si>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</si>
  <si>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</si>
  <si>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</si>
  <si>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</si>
  <si>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</si>
  <si>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</si>
  <si>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</si>
  <si>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</si>
  <si>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</si>
  <si>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</si>
  <si>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</si>
  <si>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</si>
  <si>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</si>
  <si>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</si>
  <si>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</si>
  <si>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</si>
  <si>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</si>
  <si>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</si>
  <si>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</si>
  <si>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</si>
  <si>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</si>
  <si>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</si>
  <si>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</si>
  <si>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</si>
  <si>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</si>
  <si>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</si>
  <si>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</si>
  <si>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</si>
  <si>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</si>
  <si>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</si>
  <si>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</si>
  <si>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</si>
  <si>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</si>
  <si>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</si>
  <si>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</si>
  <si>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</si>
  <si>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</si>
  <si>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</si>
  <si>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</si>
  <si>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</si>
  <si>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</si>
  <si>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</si>
  <si>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</si>
  <si>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</si>
  <si>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</si>
  <si>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</si>
  <si>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</si>
  <si>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</si>
  <si>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</si>
  <si>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пр. Ленина, 13</t>
  </si>
  <si>
    <t>ООО "ОЖКС № 1"</t>
  </si>
  <si>
    <t>ООО  "ОЖКС № 1"</t>
  </si>
  <si>
    <t>Противопожарные мероприятия:  содержание и обслуживание вентканалов и шахт</t>
  </si>
  <si>
    <t xml:space="preserve">      Представитель собственников  - старший по дому Качурина Ю.М.,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2009г.      </t>
  </si>
  <si>
    <t>Старший по дому                                                                                                                                   Ю.М. Качурина</t>
  </si>
  <si>
    <t>ОТЧЕТ
за  2009 г. о выполненнии условий  договора управления МКД 
№146/1 от 28.03.08г, заключенного между ООО "ОЖКС № 1" 
и собственниками многоквартирного дома
по адресу:  пр. Ленина, 13</t>
  </si>
  <si>
    <t>Претензий по управлению нет (да)</t>
  </si>
  <si>
    <t>ОТЧЕТ
о выполненных работах в 2008 году по договору управления МКД 
№  146 от 28.03.2008 г., заключенного между ООО "ОЖКС №1" и собственниками многоквартирного дома
по адресу:  пр. Ленина, 13</t>
  </si>
  <si>
    <t xml:space="preserve">        Представитель собственников  - старший по дому Титовой Т.А.,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</si>
  <si>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</si>
  <si>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</si>
  <si>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</si>
  <si>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</si>
  <si>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</si>
  <si>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</si>
  <si>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</si>
  <si>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</si>
  <si>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</si>
  <si>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</si>
  <si>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</si>
  <si>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</si>
  <si>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</si>
  <si>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</si>
  <si>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</si>
  <si>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</si>
  <si>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</si>
  <si>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</si>
  <si>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</si>
  <si>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</si>
  <si>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</si>
  <si>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</si>
  <si>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</si>
  <si>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</si>
  <si>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</si>
  <si>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</si>
  <si>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</si>
  <si>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</si>
  <si>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</si>
  <si>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</si>
  <si>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</si>
  <si>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</si>
  <si>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</si>
  <si>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</si>
  <si>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</si>
  <si>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</si>
  <si>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</si>
  <si>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</si>
  <si>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</si>
  <si>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</si>
  <si>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</si>
  <si>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И.А. Ломов                                  </t>
  </si>
  <si>
    <t>Старший по дому                                                                       Т.А Титова</t>
  </si>
  <si>
    <t>Претензий по управлению нет.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</si>
  <si>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</si>
  <si>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</si>
  <si>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</si>
  <si>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</si>
  <si>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 xml:space="preserve">Сбор, вывоз  бытового мусора, содержание  мусоропроводов </t>
  </si>
  <si>
    <t>по договору</t>
  </si>
  <si>
    <t>1 раз/неделю - подметание
1 раз/месяц 
влажная уборка</t>
  </si>
  <si>
    <t>Директор</t>
  </si>
  <si>
    <t>И.А. Ломов</t>
  </si>
  <si>
    <t>___________________</t>
  </si>
  <si>
    <t>2.1.</t>
  </si>
  <si>
    <t>2.2.</t>
  </si>
  <si>
    <t>2.3.</t>
  </si>
  <si>
    <t xml:space="preserve">S нежилых </t>
  </si>
  <si>
    <t xml:space="preserve">помещений, 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</si>
  <si>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</si>
  <si>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</si>
  <si>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</si>
  <si>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</si>
  <si>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</si>
  <si>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</si>
  <si>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</si>
  <si>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</si>
  <si>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</si>
  <si>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</si>
  <si>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</si>
  <si>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</si>
  <si>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</si>
  <si>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</si>
  <si>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ОТЧЕТ
за  2010 г. о выполненнии условий  договора управления МКД
№146/1 от 28.03.08г, заключенного между ООО "ОЖКС № 1" 
и собственниками многоквартирного дома
по адресу:  пр. Ленина, 13</t>
  </si>
  <si>
    <t xml:space="preserve">                     Представитель собственников  - старший по дому Качурина Ю.М.,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2010г.      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</si>
  <si>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</si>
  <si>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</si>
  <si>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</si>
  <si>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</si>
  <si>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</si>
  <si>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</si>
  <si>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</si>
  <si>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</si>
  <si>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</si>
  <si>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</si>
  <si>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</si>
  <si>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</si>
  <si>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</si>
  <si>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</si>
  <si>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</si>
  <si>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</si>
  <si>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</si>
  <si>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</si>
  <si>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</si>
  <si>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</si>
  <si>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ООО "ОЖКС № 6"</t>
  </si>
  <si>
    <t>ООО  "ОЖКС № 6"</t>
  </si>
  <si>
    <t>Сумма в год, руб.</t>
  </si>
  <si>
    <t>население</t>
  </si>
  <si>
    <t>арендаторы</t>
  </si>
  <si>
    <t>всего</t>
  </si>
  <si>
    <t xml:space="preserve"> - прочие доходы (антены)</t>
  </si>
  <si>
    <t>Обслуживание домофонов</t>
  </si>
  <si>
    <t>Обслуживание приборов учета</t>
  </si>
  <si>
    <t>Принято: Старший по дому                                                  Качурина Ю.М.</t>
  </si>
  <si>
    <t>2012г</t>
  </si>
  <si>
    <t>Смета 
доходов и расходов на  2011 г.
по договора управления МКД 
№146/1 от 28.03.08г, заключенного между ООО "ОЖКС № 1" 
и собственниками многоквартирного дома
по адресу:  пр. Ленина, 13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</si>
  <si>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</si>
  <si>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</si>
  <si>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</si>
  <si>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</si>
  <si>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</si>
  <si>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</si>
  <si>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</si>
  <si>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</si>
  <si>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</si>
  <si>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</si>
  <si>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</si>
  <si>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</si>
  <si>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</si>
  <si>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</si>
  <si>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результат
 за год
(+эконом., 
-перерасх.)</t>
  </si>
  <si>
    <t>Принято: Старший по дому                                                  ________________________</t>
  </si>
  <si>
    <t xml:space="preserve">Финансовый результат за 2011г. (+ экономия,- перерасход)                                                      </t>
  </si>
  <si>
    <t>ОТЧЕТ
за  2011 г. о выполненнии условий  договора управления МКД
№ 146/1 от 28.03.09г, заключенного между ООО "ОЖКС № 1" 
и собственниками многоквартирного дома
по адресу:  пр. Ленина, 13</t>
  </si>
  <si>
    <t xml:space="preserve">                     Представитель собственников  - старший по дому _____________________, с одной стороны и Общество с Ограниченной Ответственностью "Октябрьский Жилкомсервис № 1", в лице директора _______________________, действующее на основании Устава,  с другой стороны, составили настоящий отчет о выполненных работах  в  2011г.      </t>
  </si>
  <si>
    <t>______________________</t>
  </si>
  <si>
    <t>Смета 
доходов и расходов на  2012 г.
по договора управления МКД 
№146/1 от 28.03.09г, заключенного между ООО "ОЖКС № 1" 
и собственниками многоквартирного дома
по адресу:  пр. Ленина, 13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</si>
  <si>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</si>
  <si>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</si>
  <si>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</si>
  <si>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</t>
  </si>
  <si>
    <t xml:space="preserve">Директор ООО "ОЖКС № 1"                                                               А.В. Яроцкова                                </t>
  </si>
  <si>
    <t>Приложение №7 к Договору                                                                       на оказание услуг и выполнение работ                                                           по содержанию, текущему и капитальному ремонту                                                                 общего имущества МКД 
№ ____ от __________20__г.</t>
  </si>
  <si>
    <t>Расчет стоимости договора и тарифа 1 м2 на 2012 г.</t>
  </si>
  <si>
    <t>48, 1 нежилое помещение</t>
  </si>
  <si>
    <t>Тариф 
на 
1 кв.м. июль-декабрь 2012г.
руб.</t>
  </si>
  <si>
    <t>Стоимость работ
июль-декабрь 2012г.             руб.</t>
  </si>
  <si>
    <t>5=гр.4*Sдома*6мес.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</si>
  <si>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</si>
  <si>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</si>
  <si>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</si>
  <si>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</si>
  <si>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по плану работ</t>
  </si>
  <si>
    <t>Тариф с 1 июля 2012 г. - 15.36 руб., капитальный ремонт - 0,80 руб.</t>
  </si>
  <si>
    <t>ОТЧЕТ
за  2012 г. о выполненнии условий  договора управления МКД
№ 146/1 от 28.03.09г, заключенного между ООО "ОЖКС № 1" 
и собственниками многоквартирного дома
по адресу:  пр. Ленина, 13</t>
  </si>
  <si>
    <t xml:space="preserve">                     Представитель собственников  - старший по дому _____________________, с одной стороны и Общество с Ограниченной Ответственностью "Октябрьский Жилкомсервис № 1", в лице директора Зенгер Д.В., действующее на основании Устава,  с другой стороны, составили настоящий отчет о выполненных работах  в  2012 г.    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</si>
  <si>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</si>
  <si>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</si>
  <si>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</si>
  <si>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</si>
  <si>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</si>
  <si>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 xml:space="preserve"> - прочие доходы 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</si>
  <si>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</si>
  <si>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</si>
  <si>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</si>
  <si>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</si>
  <si>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</si>
  <si>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Старший по дому                                                                     ________________________________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</si>
  <si>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</si>
  <si>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</si>
  <si>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</si>
  <si>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</si>
  <si>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Старший по дому                                                                   _____________________</t>
  </si>
  <si>
    <t>_______________/________/</t>
  </si>
  <si>
    <t>Исполнитель: Стыценкова И.А.</t>
  </si>
  <si>
    <t>ОТЧЕТ
по  договору управления МКД 
№ 146/1 от 28.03.09г, заключенного между ООО "ОЖКС № 1" 
и собственниками многоквартирного дома
по адресу:  пр. Ленина,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</si>
</sst>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" borderId="1" xfId="0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164" fontId="10" fillId="0" borderId="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13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6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6">
      <selection activeCell="E29" sqref="E29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625" style="0" customWidth="1"/>
    <col min="5" max="5" width="11.125" style="0" customWidth="1"/>
  </cols>
  <sheetData>
    <row r="1" spans="1:4" ht="104.25" customHeight="1">
      <c r="A1" s="203" t="s">
        <v>89</v>
      </c>
      <c r="B1" s="204"/>
      <c r="C1" s="204"/>
      <c r="D1" s="204"/>
    </row>
    <row r="2" spans="1:4" ht="72.75" customHeight="1">
      <c r="A2" s="205" t="s">
        <v>90</v>
      </c>
      <c r="B2" s="206"/>
      <c r="C2" s="206"/>
      <c r="D2" s="206"/>
    </row>
    <row r="3" spans="1:5" ht="32.25" customHeight="1">
      <c r="A3" s="23" t="s">
        <v>91</v>
      </c>
      <c r="B3" s="23" t="s">
        <v>92</v>
      </c>
      <c r="C3" s="11" t="s">
        <v>93</v>
      </c>
      <c r="D3" s="27" t="s">
        <v>94</v>
      </c>
      <c r="E3" s="48" t="s">
        <v>95</v>
      </c>
    </row>
    <row r="4" spans="1:5" ht="18.75" customHeight="1">
      <c r="A4" s="49" t="s">
        <v>96</v>
      </c>
      <c r="B4" s="50" t="s">
        <v>97</v>
      </c>
      <c r="C4" s="11" t="s">
        <v>98</v>
      </c>
      <c r="D4" s="51">
        <v>9</v>
      </c>
      <c r="E4" s="51">
        <v>9</v>
      </c>
    </row>
    <row r="5" spans="1:5" ht="15.75">
      <c r="A5" s="52" t="s">
        <v>99</v>
      </c>
      <c r="B5" s="53" t="s">
        <v>100</v>
      </c>
      <c r="C5" s="54" t="s">
        <v>101</v>
      </c>
      <c r="D5" s="55">
        <v>2185</v>
      </c>
      <c r="E5" s="55">
        <v>2185</v>
      </c>
    </row>
    <row r="6" spans="1:5" ht="15.75">
      <c r="A6" s="52" t="s">
        <v>102</v>
      </c>
      <c r="B6" s="53" t="s">
        <v>103</v>
      </c>
      <c r="C6" s="54" t="s">
        <v>98</v>
      </c>
      <c r="D6" s="56">
        <v>48</v>
      </c>
      <c r="E6" s="56">
        <v>48</v>
      </c>
    </row>
    <row r="7" spans="1:5" ht="15.75">
      <c r="A7" s="52" t="s">
        <v>104</v>
      </c>
      <c r="B7" s="53" t="s">
        <v>105</v>
      </c>
      <c r="C7" s="47"/>
      <c r="D7" s="55"/>
      <c r="E7" s="55"/>
    </row>
    <row r="8" spans="1:5" ht="15.75">
      <c r="A8" s="57" t="s">
        <v>106</v>
      </c>
      <c r="B8" s="53" t="s">
        <v>107</v>
      </c>
      <c r="C8" s="47"/>
      <c r="D8" s="55"/>
      <c r="E8" s="55"/>
    </row>
    <row r="9" spans="1:5" ht="17.25" customHeight="1">
      <c r="A9" s="58"/>
      <c r="B9" s="35" t="s">
        <v>108</v>
      </c>
      <c r="C9" s="47" t="s">
        <v>109</v>
      </c>
      <c r="D9" s="55">
        <v>152904.29</v>
      </c>
      <c r="E9" s="55">
        <v>152904.29</v>
      </c>
    </row>
    <row r="10" spans="1:5" ht="16.5" customHeight="1">
      <c r="A10" s="58"/>
      <c r="B10" s="35" t="s">
        <v>110</v>
      </c>
      <c r="C10" s="47" t="s">
        <v>109</v>
      </c>
      <c r="D10" s="55">
        <v>143845.34</v>
      </c>
      <c r="E10" s="55">
        <v>143845.34</v>
      </c>
    </row>
    <row r="11" spans="1:5" ht="15.75">
      <c r="A11" s="58"/>
      <c r="B11" s="53" t="s">
        <v>111</v>
      </c>
      <c r="C11" s="54" t="s">
        <v>109</v>
      </c>
      <c r="D11" s="59">
        <f>D9-D10</f>
        <v>9058.950000000012</v>
      </c>
      <c r="E11" s="59">
        <f>E9-E10</f>
        <v>9058.950000000012</v>
      </c>
    </row>
    <row r="12" spans="1:5" ht="18" customHeight="1">
      <c r="A12" s="57" t="s">
        <v>112</v>
      </c>
      <c r="B12" s="53" t="s">
        <v>113</v>
      </c>
      <c r="C12" s="47"/>
      <c r="D12" s="55"/>
      <c r="E12" s="55"/>
    </row>
    <row r="13" spans="1:5" ht="15.75">
      <c r="A13" s="58"/>
      <c r="B13" s="35" t="s">
        <v>108</v>
      </c>
      <c r="C13" s="47" t="s">
        <v>109</v>
      </c>
      <c r="D13" s="55">
        <v>9369.38</v>
      </c>
      <c r="E13" s="55"/>
    </row>
    <row r="14" spans="1:5" ht="15.75" customHeight="1">
      <c r="A14" s="58"/>
      <c r="B14" s="35" t="s">
        <v>110</v>
      </c>
      <c r="C14" s="47" t="s">
        <v>109</v>
      </c>
      <c r="D14" s="55">
        <v>8727.02</v>
      </c>
      <c r="E14" s="55"/>
    </row>
    <row r="15" spans="1:5" ht="15.75" customHeight="1">
      <c r="A15" s="58"/>
      <c r="B15" s="53" t="s">
        <v>111</v>
      </c>
      <c r="C15" s="54" t="s">
        <v>109</v>
      </c>
      <c r="D15" s="59">
        <f>D13-D14</f>
        <v>642.3599999999988</v>
      </c>
      <c r="E15" s="59">
        <f>E13-E14</f>
        <v>0</v>
      </c>
    </row>
    <row r="16" spans="1:5" ht="15" customHeight="1">
      <c r="A16" s="60" t="s">
        <v>114</v>
      </c>
      <c r="B16" s="53" t="s">
        <v>115</v>
      </c>
      <c r="C16" s="47"/>
      <c r="D16" s="61"/>
      <c r="E16" s="61"/>
    </row>
    <row r="17" spans="1:5" ht="15.75">
      <c r="A17" s="62"/>
      <c r="B17" s="35" t="s">
        <v>108</v>
      </c>
      <c r="C17" s="47" t="s">
        <v>109</v>
      </c>
      <c r="D17" s="61">
        <v>1280.85</v>
      </c>
      <c r="E17" s="61">
        <v>1280.85</v>
      </c>
    </row>
    <row r="18" spans="1:5" ht="15.75" customHeight="1">
      <c r="A18" s="62"/>
      <c r="B18" s="35" t="s">
        <v>110</v>
      </c>
      <c r="C18" s="47" t="s">
        <v>109</v>
      </c>
      <c r="D18" s="61">
        <v>1313.66</v>
      </c>
      <c r="E18" s="61">
        <v>1313.66</v>
      </c>
    </row>
    <row r="19" spans="1:5" ht="15.75">
      <c r="A19" s="62"/>
      <c r="B19" s="53" t="s">
        <v>111</v>
      </c>
      <c r="C19" s="47" t="s">
        <v>109</v>
      </c>
      <c r="D19" s="63">
        <f>D17-D18</f>
        <v>-32.81000000000017</v>
      </c>
      <c r="E19" s="63">
        <f>E17-E18</f>
        <v>-32.81000000000017</v>
      </c>
    </row>
    <row r="20" spans="1:5" ht="17.25" customHeight="1">
      <c r="A20" s="58"/>
      <c r="B20" s="53" t="s">
        <v>116</v>
      </c>
      <c r="C20" s="47" t="s">
        <v>109</v>
      </c>
      <c r="D20" s="59">
        <f>D9+D13+D17</f>
        <v>163554.52000000002</v>
      </c>
      <c r="E20" s="59">
        <f>E9+E13+E17</f>
        <v>154185.14</v>
      </c>
    </row>
    <row r="21" spans="1:5" ht="14.25" customHeight="1">
      <c r="A21" s="58"/>
      <c r="B21" s="53" t="s">
        <v>117</v>
      </c>
      <c r="C21" s="47" t="s">
        <v>109</v>
      </c>
      <c r="D21" s="59">
        <f>D11+D15+D19</f>
        <v>9668.500000000011</v>
      </c>
      <c r="E21" s="59">
        <f>E11+E15+E19</f>
        <v>9026.140000000012</v>
      </c>
    </row>
    <row r="22" spans="1:5" ht="18" customHeight="1">
      <c r="A22" s="52" t="s">
        <v>118</v>
      </c>
      <c r="B22" s="64" t="s">
        <v>119</v>
      </c>
      <c r="C22" s="47"/>
      <c r="D22" s="55"/>
      <c r="E22" s="55"/>
    </row>
    <row r="23" spans="1:5" ht="93" customHeight="1">
      <c r="A23" s="65" t="s">
        <v>120</v>
      </c>
      <c r="B23" s="66" t="s">
        <v>121</v>
      </c>
      <c r="C23" s="54" t="s">
        <v>109</v>
      </c>
      <c r="D23" s="59">
        <f>D9*0.11</f>
        <v>16819.4719</v>
      </c>
      <c r="E23" s="59">
        <f>E9*0.11</f>
        <v>16819.4719</v>
      </c>
    </row>
    <row r="24" spans="1:5" ht="93" customHeight="1">
      <c r="A24" s="65" t="s">
        <v>122</v>
      </c>
      <c r="B24" s="66" t="s">
        <v>123</v>
      </c>
      <c r="C24" s="54" t="s">
        <v>109</v>
      </c>
      <c r="D24" s="59">
        <f>D9*0.7</f>
        <v>107033.003</v>
      </c>
      <c r="E24" s="59">
        <f>E9*0.7</f>
        <v>107033.003</v>
      </c>
    </row>
    <row r="25" spans="1:5" ht="15" customHeight="1">
      <c r="A25" s="65" t="s">
        <v>124</v>
      </c>
      <c r="B25" s="53" t="s">
        <v>125</v>
      </c>
      <c r="C25" s="54" t="s">
        <v>109</v>
      </c>
      <c r="D25" s="59">
        <v>110.8</v>
      </c>
      <c r="E25" s="59">
        <v>110.8</v>
      </c>
    </row>
    <row r="26" spans="1:5" ht="15.75" customHeight="1" hidden="1">
      <c r="A26" s="65" t="s">
        <v>126</v>
      </c>
      <c r="B26" s="53" t="s">
        <v>127</v>
      </c>
      <c r="C26" s="54" t="s">
        <v>109</v>
      </c>
      <c r="D26" s="67">
        <v>0</v>
      </c>
      <c r="E26" s="67">
        <v>0</v>
      </c>
    </row>
    <row r="27" spans="1:5" ht="15.75">
      <c r="A27" s="58"/>
      <c r="B27" s="53" t="s">
        <v>128</v>
      </c>
      <c r="C27" s="54" t="s">
        <v>109</v>
      </c>
      <c r="D27" s="59">
        <f>D23+D24+D25+D26</f>
        <v>123963.2749</v>
      </c>
      <c r="E27" s="59">
        <f>E23+E24+E25+E26</f>
        <v>123963.2749</v>
      </c>
    </row>
    <row r="28" spans="1:5" ht="15.75">
      <c r="A28" s="57" t="s">
        <v>62</v>
      </c>
      <c r="B28" s="53" t="s">
        <v>129</v>
      </c>
      <c r="C28" s="47" t="s">
        <v>109</v>
      </c>
      <c r="D28" s="55">
        <f>D20-D27</f>
        <v>39591.245100000015</v>
      </c>
      <c r="E28" s="55">
        <f>E20-E27</f>
        <v>30221.86510000001</v>
      </c>
    </row>
    <row r="29" spans="1:5" ht="31.5">
      <c r="A29" s="65" t="s">
        <v>130</v>
      </c>
      <c r="B29" s="66" t="s">
        <v>131</v>
      </c>
      <c r="C29" s="47" t="s">
        <v>109</v>
      </c>
      <c r="D29" s="55">
        <f>D28-D21</f>
        <v>29922.745100000004</v>
      </c>
      <c r="E29" s="55">
        <f>E28-E21</f>
        <v>21195.725099999996</v>
      </c>
    </row>
    <row r="30" spans="1:4" ht="15.75">
      <c r="A30" s="68"/>
      <c r="B30" s="69"/>
      <c r="C30" s="70"/>
      <c r="D30" s="70"/>
    </row>
    <row r="31" spans="2:4" ht="17.25" customHeight="1">
      <c r="B31" s="207" t="s">
        <v>132</v>
      </c>
      <c r="C31" s="207"/>
      <c r="D31" s="207"/>
    </row>
    <row r="32" spans="2:4" ht="15.75">
      <c r="B32" s="71"/>
      <c r="C32" s="71"/>
      <c r="D32" s="71"/>
    </row>
    <row r="33" spans="2:4" ht="15.75">
      <c r="B33" s="72" t="s">
        <v>79</v>
      </c>
      <c r="C33" s="72"/>
      <c r="D33" s="72"/>
    </row>
    <row r="34" spans="2:4" ht="15.75">
      <c r="B34" s="208" t="s">
        <v>133</v>
      </c>
      <c r="C34" s="208"/>
      <c r="D34" s="208"/>
    </row>
    <row r="35" spans="2:4" ht="15.75">
      <c r="B35" s="202" t="s">
        <v>134</v>
      </c>
      <c r="C35" s="202"/>
      <c r="D35" s="202"/>
    </row>
  </sheetData>
  <mergeCells count="5">
    <mergeCell ref="B35:D35"/>
    <mergeCell ref="A1:D1"/>
    <mergeCell ref="A2:D2"/>
    <mergeCell ref="B31:D31"/>
    <mergeCell ref="B34:D34"/>
  </mergeCells>
  <printOptions/>
  <pageMargins left="0" right="0" top="0" bottom="0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B28">
      <selection activeCell="H14" sqref="H1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0.12890625" style="0" customWidth="1"/>
    <col min="8" max="8" width="12.625" style="0" customWidth="1"/>
    <col min="9" max="9" width="9.875" style="0" bestFit="1" customWidth="1"/>
  </cols>
  <sheetData>
    <row r="1" spans="1:8" ht="93.75" customHeight="1">
      <c r="A1" s="222" t="s">
        <v>87</v>
      </c>
      <c r="B1" s="222"/>
      <c r="C1" s="222"/>
      <c r="D1" s="222"/>
      <c r="E1" s="222"/>
      <c r="F1" s="222"/>
      <c r="G1" s="222"/>
      <c r="H1" s="222"/>
    </row>
    <row r="2" spans="1:8" ht="54" customHeight="1">
      <c r="A2" s="223" t="s">
        <v>85</v>
      </c>
      <c r="B2" s="223"/>
      <c r="C2" s="223"/>
      <c r="D2" s="223"/>
      <c r="E2" s="223"/>
      <c r="F2" s="223"/>
      <c r="G2" s="223"/>
      <c r="H2" s="223"/>
    </row>
    <row r="3" spans="1:6" ht="18.75">
      <c r="A3" s="1" t="s">
        <v>80</v>
      </c>
      <c r="B3" s="1" t="s">
        <v>81</v>
      </c>
      <c r="C3" s="2"/>
      <c r="D3" s="2" t="s">
        <v>0</v>
      </c>
      <c r="E3" s="4">
        <v>2185</v>
      </c>
      <c r="F3" s="2"/>
    </row>
    <row r="4" spans="2:6" ht="15.75">
      <c r="B4" s="3" t="s">
        <v>1</v>
      </c>
      <c r="C4" s="37">
        <v>9</v>
      </c>
      <c r="D4" s="2" t="s">
        <v>2</v>
      </c>
      <c r="E4" s="4">
        <v>48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61</v>
      </c>
      <c r="B7" s="226"/>
      <c r="C7" s="226"/>
      <c r="D7" s="226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227" t="s">
        <v>65</v>
      </c>
      <c r="C8" s="228"/>
      <c r="D8" s="228"/>
      <c r="E8" s="228"/>
      <c r="F8" s="229"/>
      <c r="G8" s="15"/>
      <c r="H8" s="16"/>
    </row>
    <row r="9" spans="1:8" ht="15.75" customHeight="1">
      <c r="A9" s="23"/>
      <c r="B9" s="213" t="s">
        <v>74</v>
      </c>
      <c r="C9" s="213"/>
      <c r="D9" s="213"/>
      <c r="E9" s="213"/>
      <c r="F9" s="213"/>
      <c r="G9" s="15"/>
      <c r="H9" s="32">
        <v>18796.33</v>
      </c>
    </row>
    <row r="10" spans="1:8" ht="15.75">
      <c r="A10" s="23">
        <v>1</v>
      </c>
      <c r="B10" s="210" t="s">
        <v>63</v>
      </c>
      <c r="C10" s="210"/>
      <c r="D10" s="210"/>
      <c r="E10" s="210"/>
      <c r="F10" s="210"/>
      <c r="G10" s="17"/>
      <c r="H10" s="35">
        <v>303418.39</v>
      </c>
    </row>
    <row r="11" spans="1:8" ht="15.75">
      <c r="A11" s="23"/>
      <c r="B11" s="210" t="s">
        <v>76</v>
      </c>
      <c r="C11" s="210"/>
      <c r="D11" s="210"/>
      <c r="E11" s="210"/>
      <c r="F11" s="210"/>
      <c r="G11" s="17"/>
      <c r="H11" s="38">
        <f>H10*0.9</f>
        <v>273076.55100000004</v>
      </c>
    </row>
    <row r="12" spans="1:8" ht="15.75">
      <c r="A12" s="23"/>
      <c r="B12" s="210" t="s">
        <v>77</v>
      </c>
      <c r="C12" s="210"/>
      <c r="D12" s="210"/>
      <c r="E12" s="210"/>
      <c r="F12" s="210"/>
      <c r="G12" s="17"/>
      <c r="H12" s="39">
        <f>H10-H11</f>
        <v>30341.838999999978</v>
      </c>
    </row>
    <row r="13" spans="1:8" ht="15.75">
      <c r="A13" s="23">
        <v>2</v>
      </c>
      <c r="B13" s="210" t="s">
        <v>64</v>
      </c>
      <c r="C13" s="210"/>
      <c r="D13" s="210"/>
      <c r="E13" s="210"/>
      <c r="F13" s="210"/>
      <c r="G13" s="17"/>
      <c r="H13" s="18">
        <v>302516.37</v>
      </c>
    </row>
    <row r="14" spans="1:8" ht="15.75">
      <c r="A14" s="23">
        <v>3</v>
      </c>
      <c r="B14" s="210" t="s">
        <v>68</v>
      </c>
      <c r="C14" s="210"/>
      <c r="D14" s="210"/>
      <c r="E14" s="210"/>
      <c r="F14" s="210"/>
      <c r="G14" s="17"/>
      <c r="H14" s="39">
        <f>H10-H13</f>
        <v>902.0200000000186</v>
      </c>
    </row>
    <row r="15" spans="1:9" ht="15.75">
      <c r="A15" s="23">
        <v>4</v>
      </c>
      <c r="B15" s="213" t="s">
        <v>75</v>
      </c>
      <c r="C15" s="213"/>
      <c r="D15" s="213"/>
      <c r="E15" s="213"/>
      <c r="F15" s="213"/>
      <c r="G15" s="17"/>
      <c r="H15" s="40">
        <f>H9+H10-H13</f>
        <v>19698.350000000035</v>
      </c>
      <c r="I15" s="31"/>
    </row>
    <row r="16" spans="1:8" ht="18.75">
      <c r="A16" s="23">
        <v>5</v>
      </c>
      <c r="B16" s="221" t="s">
        <v>66</v>
      </c>
      <c r="C16" s="221"/>
      <c r="D16" s="221"/>
      <c r="E16" s="221"/>
      <c r="F16" s="221"/>
      <c r="G16" s="17"/>
      <c r="H16" s="39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41"/>
    </row>
    <row r="18" spans="1:8" ht="31.5">
      <c r="A18" s="26" t="s">
        <v>41</v>
      </c>
      <c r="B18" s="209" t="s">
        <v>19</v>
      </c>
      <c r="C18" s="209"/>
      <c r="D18" s="209"/>
      <c r="E18" s="6" t="s">
        <v>33</v>
      </c>
      <c r="F18" s="6" t="s">
        <v>25</v>
      </c>
      <c r="G18" s="12">
        <v>1.06</v>
      </c>
      <c r="H18" s="42">
        <f>ROUND(G18*$E$3*12,2)</f>
        <v>27793.2</v>
      </c>
    </row>
    <row r="19" spans="1:8" ht="15.75">
      <c r="A19" s="23" t="s">
        <v>42</v>
      </c>
      <c r="B19" s="209" t="s">
        <v>18</v>
      </c>
      <c r="C19" s="209"/>
      <c r="D19" s="209"/>
      <c r="E19" s="6" t="s">
        <v>33</v>
      </c>
      <c r="F19" s="6" t="s">
        <v>20</v>
      </c>
      <c r="G19" s="12">
        <v>0.26</v>
      </c>
      <c r="H19" s="42">
        <f aca="true" t="shared" si="0" ref="H19:H31">ROUND(G19*$E$3*12,2)</f>
        <v>6817.2</v>
      </c>
    </row>
    <row r="20" spans="1:8" ht="15.75">
      <c r="A20" s="26" t="s">
        <v>43</v>
      </c>
      <c r="B20" s="210" t="s">
        <v>24</v>
      </c>
      <c r="C20" s="210"/>
      <c r="D20" s="210"/>
      <c r="E20" s="7" t="s">
        <v>8</v>
      </c>
      <c r="F20" s="7" t="s">
        <v>21</v>
      </c>
      <c r="G20" s="12">
        <v>0.9</v>
      </c>
      <c r="H20" s="42">
        <f t="shared" si="0"/>
        <v>23598</v>
      </c>
    </row>
    <row r="21" spans="1:8" ht="33" customHeight="1">
      <c r="A21" s="23" t="s">
        <v>44</v>
      </c>
      <c r="B21" s="212" t="s">
        <v>32</v>
      </c>
      <c r="C21" s="212"/>
      <c r="D21" s="212"/>
      <c r="E21" s="8" t="s">
        <v>9</v>
      </c>
      <c r="F21" s="8" t="s">
        <v>10</v>
      </c>
      <c r="G21" s="12">
        <v>0.46</v>
      </c>
      <c r="H21" s="42">
        <f t="shared" si="0"/>
        <v>12061.2</v>
      </c>
    </row>
    <row r="22" spans="1:8" ht="63">
      <c r="A22" s="26" t="s">
        <v>47</v>
      </c>
      <c r="B22" s="210" t="s">
        <v>28</v>
      </c>
      <c r="C22" s="210"/>
      <c r="D22" s="210"/>
      <c r="E22" s="7" t="s">
        <v>35</v>
      </c>
      <c r="F22" s="7" t="s">
        <v>26</v>
      </c>
      <c r="G22" s="12">
        <v>0.11</v>
      </c>
      <c r="H22" s="42">
        <f t="shared" si="0"/>
        <v>2884.2</v>
      </c>
    </row>
    <row r="23" spans="1:8" ht="31.5">
      <c r="A23" s="23" t="s">
        <v>45</v>
      </c>
      <c r="B23" s="210" t="s">
        <v>11</v>
      </c>
      <c r="C23" s="210"/>
      <c r="D23" s="210"/>
      <c r="E23" s="7" t="s">
        <v>9</v>
      </c>
      <c r="F23" s="7" t="s">
        <v>12</v>
      </c>
      <c r="G23" s="12">
        <v>1.89</v>
      </c>
      <c r="H23" s="42">
        <f t="shared" si="0"/>
        <v>49555.8</v>
      </c>
    </row>
    <row r="24" spans="1:8" ht="15.75">
      <c r="A24" s="26" t="s">
        <v>46</v>
      </c>
      <c r="B24" s="210" t="s">
        <v>27</v>
      </c>
      <c r="C24" s="211"/>
      <c r="D24" s="211"/>
      <c r="E24" s="9" t="s">
        <v>13</v>
      </c>
      <c r="F24" s="9" t="s">
        <v>14</v>
      </c>
      <c r="G24" s="12">
        <v>0.04</v>
      </c>
      <c r="H24" s="42">
        <f t="shared" si="0"/>
        <v>1048.8</v>
      </c>
    </row>
    <row r="25" spans="1:8" ht="36.75" customHeight="1">
      <c r="A25" s="23" t="s">
        <v>48</v>
      </c>
      <c r="B25" s="216" t="s">
        <v>84</v>
      </c>
      <c r="C25" s="217"/>
      <c r="D25" s="218"/>
      <c r="E25" s="9" t="s">
        <v>13</v>
      </c>
      <c r="F25" s="46" t="s">
        <v>82</v>
      </c>
      <c r="G25" s="12">
        <v>0.22</v>
      </c>
      <c r="H25" s="42">
        <f t="shared" si="0"/>
        <v>5768.4</v>
      </c>
    </row>
    <row r="26" spans="1:8" ht="31.5">
      <c r="A26" s="26" t="s">
        <v>49</v>
      </c>
      <c r="B26" s="210" t="s">
        <v>72</v>
      </c>
      <c r="C26" s="210"/>
      <c r="D26" s="210"/>
      <c r="E26" s="6" t="s">
        <v>36</v>
      </c>
      <c r="F26" s="46" t="s">
        <v>82</v>
      </c>
      <c r="G26" s="12">
        <v>2.5</v>
      </c>
      <c r="H26" s="42">
        <f t="shared" si="0"/>
        <v>65550</v>
      </c>
    </row>
    <row r="27" spans="1:8" ht="31.5">
      <c r="A27" s="23" t="s">
        <v>50</v>
      </c>
      <c r="B27" s="209" t="s">
        <v>15</v>
      </c>
      <c r="C27" s="209"/>
      <c r="D27" s="209"/>
      <c r="E27" s="6" t="s">
        <v>36</v>
      </c>
      <c r="F27" s="46" t="s">
        <v>82</v>
      </c>
      <c r="G27" s="12">
        <v>0.46</v>
      </c>
      <c r="H27" s="42">
        <f t="shared" si="0"/>
        <v>12061.2</v>
      </c>
    </row>
    <row r="28" spans="1:8" ht="31.5">
      <c r="A28" s="26" t="s">
        <v>51</v>
      </c>
      <c r="B28" s="219" t="s">
        <v>37</v>
      </c>
      <c r="C28" s="220"/>
      <c r="D28" s="220"/>
      <c r="E28" s="6" t="s">
        <v>36</v>
      </c>
      <c r="F28" s="46" t="s">
        <v>82</v>
      </c>
      <c r="G28" s="13">
        <f>2.14-G29-G30</f>
        <v>1.8900000000000001</v>
      </c>
      <c r="H28" s="42">
        <f t="shared" si="0"/>
        <v>49555.8</v>
      </c>
    </row>
    <row r="29" spans="1:8" ht="31.5">
      <c r="A29" s="23" t="s">
        <v>52</v>
      </c>
      <c r="B29" s="210" t="s">
        <v>29</v>
      </c>
      <c r="C29" s="210"/>
      <c r="D29" s="210"/>
      <c r="E29" s="6" t="s">
        <v>36</v>
      </c>
      <c r="F29" s="46" t="s">
        <v>82</v>
      </c>
      <c r="G29" s="13">
        <v>0.25</v>
      </c>
      <c r="H29" s="42">
        <f t="shared" si="0"/>
        <v>6555</v>
      </c>
    </row>
    <row r="30" spans="1:8" ht="31.5">
      <c r="A30" s="26" t="s">
        <v>53</v>
      </c>
      <c r="B30" s="210" t="s">
        <v>30</v>
      </c>
      <c r="C30" s="210"/>
      <c r="D30" s="210"/>
      <c r="E30" s="6" t="s">
        <v>36</v>
      </c>
      <c r="F30" s="46" t="s">
        <v>82</v>
      </c>
      <c r="G30" s="13">
        <v>0</v>
      </c>
      <c r="H30" s="42">
        <f t="shared" si="0"/>
        <v>0</v>
      </c>
    </row>
    <row r="31" spans="1:8" ht="31.5">
      <c r="A31" s="23" t="s">
        <v>54</v>
      </c>
      <c r="B31" s="211" t="s">
        <v>22</v>
      </c>
      <c r="C31" s="211"/>
      <c r="D31" s="211"/>
      <c r="E31" s="6" t="s">
        <v>36</v>
      </c>
      <c r="F31" s="46" t="s">
        <v>82</v>
      </c>
      <c r="G31" s="9">
        <v>1.26</v>
      </c>
      <c r="H31" s="42">
        <f t="shared" si="0"/>
        <v>33037.2</v>
      </c>
    </row>
    <row r="32" spans="1:8" ht="15.75">
      <c r="A32" s="23" t="s">
        <v>55</v>
      </c>
      <c r="B32" s="215" t="s">
        <v>31</v>
      </c>
      <c r="C32" s="215"/>
      <c r="D32" s="215"/>
      <c r="E32" s="14"/>
      <c r="F32" s="46"/>
      <c r="G32" s="21">
        <f>SUM(G18:G31)</f>
        <v>11.299999999999999</v>
      </c>
      <c r="H32" s="43">
        <f>SUM(H18:H31)</f>
        <v>296286</v>
      </c>
    </row>
    <row r="33" spans="1:8" ht="15.75">
      <c r="A33" s="23" t="s">
        <v>56</v>
      </c>
      <c r="B33" s="213" t="s">
        <v>38</v>
      </c>
      <c r="C33" s="211"/>
      <c r="D33" s="211"/>
      <c r="E33" s="14"/>
      <c r="F33" s="27" t="s">
        <v>83</v>
      </c>
      <c r="G33" s="24">
        <f>H33/E3/12</f>
        <v>1.4416475972540044</v>
      </c>
      <c r="H33" s="28">
        <v>37800</v>
      </c>
    </row>
    <row r="34" spans="1:8" ht="18.75">
      <c r="A34" s="25" t="s">
        <v>57</v>
      </c>
      <c r="B34" s="198" t="s">
        <v>70</v>
      </c>
      <c r="C34" s="198"/>
      <c r="D34" s="198"/>
      <c r="E34" s="198"/>
      <c r="F34" s="198"/>
      <c r="G34" s="5">
        <f>SUM(G32:G33)</f>
        <v>12.741647597254003</v>
      </c>
      <c r="H34" s="44">
        <f>SUM(H32:H33)</f>
        <v>334086</v>
      </c>
    </row>
    <row r="35" spans="1:8" ht="18.75">
      <c r="A35" s="23" t="s">
        <v>62</v>
      </c>
      <c r="B35" s="201" t="s">
        <v>39</v>
      </c>
      <c r="C35" s="196"/>
      <c r="D35" s="196"/>
      <c r="E35" s="196"/>
      <c r="F35" s="196"/>
      <c r="G35" s="197"/>
      <c r="H35" s="29"/>
    </row>
    <row r="36" spans="1:8" ht="15.75" customHeight="1">
      <c r="A36" s="23" t="s">
        <v>58</v>
      </c>
      <c r="B36" s="214" t="s">
        <v>69</v>
      </c>
      <c r="C36" s="199"/>
      <c r="D36" s="199"/>
      <c r="E36" s="199"/>
      <c r="F36" s="199"/>
      <c r="G36" s="200"/>
      <c r="H36" s="30">
        <v>-60793.47</v>
      </c>
    </row>
    <row r="37" spans="1:8" ht="15.75" customHeight="1">
      <c r="A37" s="23" t="s">
        <v>59</v>
      </c>
      <c r="B37" s="214" t="s">
        <v>73</v>
      </c>
      <c r="C37" s="199"/>
      <c r="D37" s="199"/>
      <c r="E37" s="199"/>
      <c r="F37" s="199"/>
      <c r="G37" s="200"/>
      <c r="H37" s="45">
        <f>H13-H34</f>
        <v>-31569.630000000005</v>
      </c>
    </row>
    <row r="38" spans="1:8" ht="15.75" customHeight="1">
      <c r="A38" s="23" t="s">
        <v>60</v>
      </c>
      <c r="B38" s="214" t="s">
        <v>71</v>
      </c>
      <c r="C38" s="199"/>
      <c r="D38" s="199"/>
      <c r="E38" s="199"/>
      <c r="F38" s="199"/>
      <c r="G38" s="200"/>
      <c r="H38" s="45">
        <f>H36+H37</f>
        <v>-92363.1</v>
      </c>
    </row>
    <row r="39" spans="2:6" ht="28.5" customHeight="1">
      <c r="B39" s="34"/>
      <c r="F39" s="34"/>
    </row>
    <row r="40" spans="1:8" ht="15.75" customHeight="1">
      <c r="A40" s="224" t="s">
        <v>78</v>
      </c>
      <c r="B40" s="224"/>
      <c r="C40" s="224"/>
      <c r="D40" s="224"/>
      <c r="E40" s="224"/>
      <c r="F40" s="224"/>
      <c r="G40" s="224"/>
      <c r="H40" s="224"/>
    </row>
    <row r="41" spans="1:3" ht="15.75">
      <c r="A41" s="34"/>
      <c r="B41" s="34"/>
      <c r="C41" s="34"/>
    </row>
    <row r="42" spans="1:3" ht="15.75">
      <c r="A42" s="36" t="s">
        <v>79</v>
      </c>
      <c r="B42" s="36"/>
      <c r="C42" s="36"/>
    </row>
    <row r="43" spans="1:7" ht="15.75" customHeight="1">
      <c r="A43" s="225" t="s">
        <v>86</v>
      </c>
      <c r="B43" s="225"/>
      <c r="C43" s="225"/>
      <c r="D43" s="225"/>
      <c r="E43" s="225"/>
      <c r="F43" s="225"/>
      <c r="G43" s="225"/>
    </row>
    <row r="44" spans="1:3" ht="15.75" customHeight="1">
      <c r="A44" s="202" t="s">
        <v>88</v>
      </c>
      <c r="B44" s="202"/>
      <c r="C44" s="202"/>
    </row>
  </sheetData>
  <mergeCells count="36">
    <mergeCell ref="A40:H40"/>
    <mergeCell ref="A43:G43"/>
    <mergeCell ref="A44:C44"/>
    <mergeCell ref="B7:D7"/>
    <mergeCell ref="B8:F8"/>
    <mergeCell ref="B19:D19"/>
    <mergeCell ref="B20:D20"/>
    <mergeCell ref="B10:F10"/>
    <mergeCell ref="B13:F13"/>
    <mergeCell ref="B14:F14"/>
    <mergeCell ref="B9:F9"/>
    <mergeCell ref="B16:F16"/>
    <mergeCell ref="A1:H1"/>
    <mergeCell ref="A2:H2"/>
    <mergeCell ref="B32:D32"/>
    <mergeCell ref="B23:D23"/>
    <mergeCell ref="B24:D24"/>
    <mergeCell ref="B29:D29"/>
    <mergeCell ref="B30:D30"/>
    <mergeCell ref="B25:D25"/>
    <mergeCell ref="B26:D26"/>
    <mergeCell ref="B27:D27"/>
    <mergeCell ref="B28:D28"/>
    <mergeCell ref="B38:G38"/>
    <mergeCell ref="B35:G35"/>
    <mergeCell ref="B33:D33"/>
    <mergeCell ref="B34:F34"/>
    <mergeCell ref="B36:G36"/>
    <mergeCell ref="B37:G37"/>
    <mergeCell ref="B18:D18"/>
    <mergeCell ref="B11:F11"/>
    <mergeCell ref="B12:F12"/>
    <mergeCell ref="B31:D31"/>
    <mergeCell ref="B21:D21"/>
    <mergeCell ref="B22:D22"/>
    <mergeCell ref="B15:F15"/>
  </mergeCells>
  <printOptions/>
  <pageMargins left="0.54" right="0.31" top="0.5" bottom="0.25" header="0.5" footer="0.2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5">
      <selection activeCell="J37" sqref="J37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23.875" style="0" customWidth="1"/>
    <col min="5" max="5" width="15.00390625" style="0" customWidth="1"/>
    <col min="6" max="6" width="0.12890625" style="91" hidden="1" customWidth="1"/>
    <col min="7" max="7" width="6.25390625" style="0" hidden="1" customWidth="1"/>
    <col min="8" max="8" width="12.75390625" style="0" customWidth="1"/>
    <col min="9" max="9" width="11.875" style="0" customWidth="1"/>
    <col min="10" max="10" width="14.375" style="0" customWidth="1"/>
    <col min="11" max="11" width="10.00390625" style="0" bestFit="1" customWidth="1"/>
  </cols>
  <sheetData>
    <row r="1" spans="1:10" ht="102" customHeight="1">
      <c r="A1" s="203" t="s">
        <v>164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56.25" customHeight="1">
      <c r="A2" s="223" t="s">
        <v>165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8" ht="18.75">
      <c r="A3" s="1" t="s">
        <v>80</v>
      </c>
      <c r="B3" s="1" t="s">
        <v>81</v>
      </c>
      <c r="C3" s="2"/>
      <c r="D3" s="2" t="s">
        <v>0</v>
      </c>
      <c r="E3" s="4">
        <v>2185</v>
      </c>
      <c r="G3" s="93"/>
      <c r="H3" s="93">
        <v>251.95</v>
      </c>
    </row>
    <row r="4" spans="2:8" ht="15.75">
      <c r="B4" s="3" t="s">
        <v>1</v>
      </c>
      <c r="C4" s="94">
        <v>9</v>
      </c>
      <c r="D4" s="2" t="s">
        <v>2</v>
      </c>
      <c r="E4" s="4">
        <v>48</v>
      </c>
      <c r="H4" t="s">
        <v>101</v>
      </c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95"/>
      <c r="G5" s="2"/>
      <c r="H5" s="2" t="s">
        <v>148</v>
      </c>
    </row>
    <row r="6" spans="2:8" ht="15.75">
      <c r="B6" s="3"/>
      <c r="C6" s="4"/>
      <c r="D6" s="2" t="s">
        <v>5</v>
      </c>
      <c r="E6" s="2" t="s">
        <v>16</v>
      </c>
      <c r="F6" s="95"/>
      <c r="H6" t="s">
        <v>149</v>
      </c>
    </row>
    <row r="7" spans="1:10" ht="42.75" customHeight="1">
      <c r="A7" s="22" t="s">
        <v>61</v>
      </c>
      <c r="B7" s="245" t="s">
        <v>150</v>
      </c>
      <c r="C7" s="246"/>
      <c r="D7" s="247"/>
      <c r="E7" s="11" t="s">
        <v>6</v>
      </c>
      <c r="F7" s="11" t="s">
        <v>7</v>
      </c>
      <c r="G7" s="33" t="s">
        <v>23</v>
      </c>
      <c r="H7" s="241" t="s">
        <v>188</v>
      </c>
      <c r="I7" s="242"/>
      <c r="J7" s="243"/>
    </row>
    <row r="8" spans="1:10" ht="15.75">
      <c r="A8" s="23">
        <v>1</v>
      </c>
      <c r="B8" s="227"/>
      <c r="C8" s="228"/>
      <c r="D8" s="228"/>
      <c r="E8" s="228"/>
      <c r="F8" s="229"/>
      <c r="G8" s="115"/>
      <c r="H8" s="116" t="s">
        <v>189</v>
      </c>
      <c r="I8" s="117" t="s">
        <v>190</v>
      </c>
      <c r="J8" s="117" t="s">
        <v>191</v>
      </c>
    </row>
    <row r="9" spans="1:10" ht="15.75" customHeight="1">
      <c r="A9" s="23"/>
      <c r="B9" s="227" t="s">
        <v>151</v>
      </c>
      <c r="C9" s="228"/>
      <c r="D9" s="228"/>
      <c r="E9" s="228"/>
      <c r="F9" s="229"/>
      <c r="G9" s="80"/>
      <c r="H9" s="80"/>
      <c r="I9" s="54"/>
      <c r="J9" s="117"/>
    </row>
    <row r="10" spans="1:10" ht="15.75" customHeight="1">
      <c r="A10" s="96"/>
      <c r="B10" s="244" t="s">
        <v>152</v>
      </c>
      <c r="C10" s="244"/>
      <c r="D10" s="244"/>
      <c r="E10" s="244"/>
      <c r="F10" s="244"/>
      <c r="G10" s="15"/>
      <c r="H10" s="97">
        <v>304709.69</v>
      </c>
      <c r="I10" s="77"/>
      <c r="J10" s="104">
        <f>H10+I10</f>
        <v>304709.69</v>
      </c>
    </row>
    <row r="11" spans="1:10" ht="15.75" customHeight="1">
      <c r="A11" s="96"/>
      <c r="B11" s="244" t="s">
        <v>153</v>
      </c>
      <c r="C11" s="244"/>
      <c r="D11" s="244"/>
      <c r="E11" s="244"/>
      <c r="F11" s="244"/>
      <c r="G11" s="15"/>
      <c r="H11" s="16">
        <v>15359.18</v>
      </c>
      <c r="I11" s="77"/>
      <c r="J11" s="104">
        <f>H11+I11</f>
        <v>15359.18</v>
      </c>
    </row>
    <row r="12" spans="1:10" ht="15.75" customHeight="1">
      <c r="A12" s="23"/>
      <c r="B12" s="244" t="s">
        <v>154</v>
      </c>
      <c r="C12" s="244"/>
      <c r="D12" s="244"/>
      <c r="E12" s="244"/>
      <c r="F12" s="244"/>
      <c r="G12" s="15"/>
      <c r="H12" s="97"/>
      <c r="I12" s="77">
        <v>70148.24</v>
      </c>
      <c r="J12" s="104">
        <f>H12+I12</f>
        <v>70148.24</v>
      </c>
    </row>
    <row r="13" spans="1:10" ht="18.75" customHeight="1">
      <c r="A13" s="23"/>
      <c r="B13" s="244" t="s">
        <v>192</v>
      </c>
      <c r="C13" s="244"/>
      <c r="D13" s="244"/>
      <c r="E13" s="244"/>
      <c r="F13" s="244"/>
      <c r="G13" s="15"/>
      <c r="H13" s="97"/>
      <c r="I13" s="118">
        <v>1205300</v>
      </c>
      <c r="J13" s="104">
        <f>H13+I13</f>
        <v>1205300</v>
      </c>
    </row>
    <row r="14" spans="1:10" ht="15.75">
      <c r="A14" s="23"/>
      <c r="B14" s="213" t="s">
        <v>155</v>
      </c>
      <c r="C14" s="213"/>
      <c r="D14" s="213"/>
      <c r="E14" s="213"/>
      <c r="F14" s="213"/>
      <c r="G14" s="15"/>
      <c r="H14" s="122">
        <f>SUM(H10:H13)</f>
        <v>320068.87</v>
      </c>
      <c r="I14" s="123">
        <f>SUM(I10:I13)</f>
        <v>1275448.24</v>
      </c>
      <c r="J14" s="122">
        <f>SUM(J10:J13)</f>
        <v>1595517.1099999999</v>
      </c>
    </row>
    <row r="15" spans="1:10" ht="15.75" customHeight="1">
      <c r="A15" s="23">
        <v>2</v>
      </c>
      <c r="B15" s="221" t="s">
        <v>66</v>
      </c>
      <c r="C15" s="221"/>
      <c r="D15" s="221"/>
      <c r="E15" s="221"/>
      <c r="F15" s="221"/>
      <c r="G15" s="15"/>
      <c r="H15" s="124"/>
      <c r="I15" s="125"/>
      <c r="J15" s="126"/>
    </row>
    <row r="16" spans="1:10" ht="15.75" customHeight="1">
      <c r="A16" s="23" t="s">
        <v>145</v>
      </c>
      <c r="B16" s="19" t="s">
        <v>67</v>
      </c>
      <c r="C16" s="19"/>
      <c r="D16" s="19"/>
      <c r="E16" s="19"/>
      <c r="F16" s="5"/>
      <c r="G16" s="116"/>
      <c r="H16" s="127"/>
      <c r="I16" s="128"/>
      <c r="J16" s="129"/>
    </row>
    <row r="17" spans="1:10" ht="27" customHeight="1">
      <c r="A17" s="26"/>
      <c r="B17" s="248" t="s">
        <v>139</v>
      </c>
      <c r="C17" s="248"/>
      <c r="D17" s="248"/>
      <c r="E17" s="98" t="s">
        <v>33</v>
      </c>
      <c r="F17" s="82" t="s">
        <v>25</v>
      </c>
      <c r="G17" s="83">
        <v>1.06</v>
      </c>
      <c r="H17" s="130">
        <f>ROUND(G17*$E$3*12,2)</f>
        <v>27793.2</v>
      </c>
      <c r="I17" s="131">
        <f>$I$12*0.08</f>
        <v>5611.859200000001</v>
      </c>
      <c r="J17" s="132">
        <f>SUM(H17:I17)</f>
        <v>33405.0592</v>
      </c>
    </row>
    <row r="18" spans="1:10" ht="20.25" customHeight="1">
      <c r="A18" s="23"/>
      <c r="B18" s="250" t="s">
        <v>18</v>
      </c>
      <c r="C18" s="250"/>
      <c r="D18" s="250"/>
      <c r="E18" s="98" t="s">
        <v>33</v>
      </c>
      <c r="F18" s="82" t="s">
        <v>20</v>
      </c>
      <c r="G18" s="83">
        <v>0.26</v>
      </c>
      <c r="H18" s="130">
        <f>ROUND(G18*$E$3*12,2)</f>
        <v>6817.2</v>
      </c>
      <c r="I18" s="131">
        <f>$I$12*0.02</f>
        <v>1402.9648000000002</v>
      </c>
      <c r="J18" s="132">
        <f aca="true" t="shared" si="0" ref="J18:J37">SUM(H18:I18)</f>
        <v>8220.1648</v>
      </c>
    </row>
    <row r="19" spans="1:10" ht="24.75" customHeight="1">
      <c r="A19" s="23"/>
      <c r="B19" s="249" t="s">
        <v>24</v>
      </c>
      <c r="C19" s="249"/>
      <c r="D19" s="249"/>
      <c r="E19" s="99" t="s">
        <v>156</v>
      </c>
      <c r="F19" s="46" t="s">
        <v>21</v>
      </c>
      <c r="G19" s="83">
        <v>0.9</v>
      </c>
      <c r="H19" s="130">
        <f>J19-I19</f>
        <v>11730.353199999998</v>
      </c>
      <c r="I19" s="131">
        <f>$I$12*0.07</f>
        <v>4910.376800000001</v>
      </c>
      <c r="J19" s="132">
        <v>16640.73</v>
      </c>
    </row>
    <row r="20" spans="1:10" ht="20.25" customHeight="1">
      <c r="A20" s="26"/>
      <c r="B20" s="248" t="s">
        <v>32</v>
      </c>
      <c r="C20" s="248"/>
      <c r="D20" s="248"/>
      <c r="E20" s="100" t="s">
        <v>9</v>
      </c>
      <c r="F20" s="85" t="s">
        <v>10</v>
      </c>
      <c r="G20" s="83">
        <v>0.46</v>
      </c>
      <c r="H20" s="130">
        <f>ROUND(G20*$E$3*12,2)</f>
        <v>12061.2</v>
      </c>
      <c r="I20" s="131">
        <f>$I$12*0.04</f>
        <v>2805.9296000000004</v>
      </c>
      <c r="J20" s="132">
        <f t="shared" si="0"/>
        <v>14867.1296</v>
      </c>
    </row>
    <row r="21" spans="1:10" ht="62.25" customHeight="1">
      <c r="A21" s="23"/>
      <c r="B21" s="249" t="s">
        <v>28</v>
      </c>
      <c r="C21" s="249"/>
      <c r="D21" s="249"/>
      <c r="E21" s="99" t="s">
        <v>157</v>
      </c>
      <c r="F21" s="46" t="s">
        <v>26</v>
      </c>
      <c r="G21" s="83">
        <v>0.11</v>
      </c>
      <c r="H21" s="130">
        <f>J21-I21</f>
        <v>982.1976</v>
      </c>
      <c r="I21" s="131">
        <f>$I$12*0.01</f>
        <v>701.4824000000001</v>
      </c>
      <c r="J21" s="132">
        <v>1683.68</v>
      </c>
    </row>
    <row r="22" spans="1:10" ht="28.5" customHeight="1">
      <c r="A22" s="26"/>
      <c r="B22" s="249" t="s">
        <v>11</v>
      </c>
      <c r="C22" s="249"/>
      <c r="D22" s="249"/>
      <c r="E22" s="99" t="s">
        <v>9</v>
      </c>
      <c r="F22" s="46" t="s">
        <v>12</v>
      </c>
      <c r="G22" s="83">
        <v>1.93</v>
      </c>
      <c r="H22" s="130">
        <f>J22-I22</f>
        <v>40082.364</v>
      </c>
      <c r="I22" s="131">
        <f>$I$12*0.15</f>
        <v>10522.236</v>
      </c>
      <c r="J22" s="130">
        <f>G22*E3*12</f>
        <v>50604.600000000006</v>
      </c>
    </row>
    <row r="23" spans="1:10" ht="26.25" customHeight="1">
      <c r="A23" s="26"/>
      <c r="B23" s="249" t="s">
        <v>27</v>
      </c>
      <c r="C23" s="251"/>
      <c r="D23" s="251"/>
      <c r="E23" s="101" t="s">
        <v>13</v>
      </c>
      <c r="F23" s="79" t="s">
        <v>14</v>
      </c>
      <c r="G23" s="83">
        <v>0.04</v>
      </c>
      <c r="H23" s="130">
        <f>J23-I23</f>
        <v>1298.07528</v>
      </c>
      <c r="I23" s="131">
        <f>$I$12*0.003</f>
        <v>210.44472000000002</v>
      </c>
      <c r="J23" s="132">
        <v>1508.52</v>
      </c>
    </row>
    <row r="24" spans="1:10" ht="30" customHeight="1">
      <c r="A24" s="23"/>
      <c r="B24" s="249" t="s">
        <v>72</v>
      </c>
      <c r="C24" s="249"/>
      <c r="D24" s="249"/>
      <c r="E24" s="98" t="s">
        <v>36</v>
      </c>
      <c r="F24" s="119" t="s">
        <v>186</v>
      </c>
      <c r="G24" s="83">
        <v>1.87</v>
      </c>
      <c r="H24" s="130">
        <f aca="true" t="shared" si="1" ref="H24:H29">ROUND(G24*$E$3*12,2)</f>
        <v>49031.4</v>
      </c>
      <c r="I24" s="131">
        <f>$I$12*0.19</f>
        <v>13328.1656</v>
      </c>
      <c r="J24" s="132">
        <f t="shared" si="0"/>
        <v>62359.5656</v>
      </c>
    </row>
    <row r="25" spans="1:10" ht="26.25" customHeight="1">
      <c r="A25" s="23"/>
      <c r="B25" s="250" t="s">
        <v>15</v>
      </c>
      <c r="C25" s="250"/>
      <c r="D25" s="250"/>
      <c r="E25" s="98" t="s">
        <v>36</v>
      </c>
      <c r="F25" s="119" t="s">
        <v>186</v>
      </c>
      <c r="G25" s="83">
        <v>0.46</v>
      </c>
      <c r="H25" s="130">
        <f t="shared" si="1"/>
        <v>12061.2</v>
      </c>
      <c r="I25" s="131">
        <v>0</v>
      </c>
      <c r="J25" s="132">
        <f t="shared" si="0"/>
        <v>12061.2</v>
      </c>
    </row>
    <row r="26" spans="1:10" ht="28.5" customHeight="1">
      <c r="A26" s="23"/>
      <c r="B26" s="252" t="s">
        <v>37</v>
      </c>
      <c r="C26" s="236"/>
      <c r="D26" s="237"/>
      <c r="E26" s="98" t="s">
        <v>36</v>
      </c>
      <c r="F26" s="119" t="s">
        <v>186</v>
      </c>
      <c r="G26" s="102">
        <f>2.99-G27-G28</f>
        <v>2.74</v>
      </c>
      <c r="H26" s="130">
        <f t="shared" si="1"/>
        <v>71842.8</v>
      </c>
      <c r="I26" s="131">
        <f>$I$12*(0.18+0.02)</f>
        <v>14029.648</v>
      </c>
      <c r="J26" s="132">
        <f t="shared" si="0"/>
        <v>85872.448</v>
      </c>
    </row>
    <row r="27" spans="1:10" ht="27" customHeight="1">
      <c r="A27" s="26"/>
      <c r="B27" s="249" t="s">
        <v>158</v>
      </c>
      <c r="C27" s="249"/>
      <c r="D27" s="249"/>
      <c r="E27" s="98" t="s">
        <v>36</v>
      </c>
      <c r="F27" s="119" t="s">
        <v>186</v>
      </c>
      <c r="G27" s="102">
        <v>0.25</v>
      </c>
      <c r="H27" s="130">
        <f t="shared" si="1"/>
        <v>6555</v>
      </c>
      <c r="I27" s="131">
        <f>$I$12*0.02</f>
        <v>1402.9648000000002</v>
      </c>
      <c r="J27" s="132">
        <f t="shared" si="0"/>
        <v>7957.9648</v>
      </c>
    </row>
    <row r="28" spans="1:11" ht="27.75" customHeight="1">
      <c r="A28" s="23"/>
      <c r="B28" s="249" t="s">
        <v>159</v>
      </c>
      <c r="C28" s="249"/>
      <c r="D28" s="249"/>
      <c r="E28" s="99" t="s">
        <v>9</v>
      </c>
      <c r="F28" s="119" t="s">
        <v>186</v>
      </c>
      <c r="G28" s="102">
        <v>0</v>
      </c>
      <c r="H28" s="130">
        <f t="shared" si="1"/>
        <v>0</v>
      </c>
      <c r="I28" s="131">
        <v>0</v>
      </c>
      <c r="J28" s="132">
        <f t="shared" si="0"/>
        <v>0</v>
      </c>
      <c r="K28" s="103"/>
    </row>
    <row r="29" spans="1:10" ht="15" customHeight="1">
      <c r="A29" s="23"/>
      <c r="B29" s="251" t="s">
        <v>22</v>
      </c>
      <c r="C29" s="251"/>
      <c r="D29" s="251"/>
      <c r="E29" s="99" t="s">
        <v>9</v>
      </c>
      <c r="F29" s="119" t="s">
        <v>186</v>
      </c>
      <c r="G29" s="79">
        <v>1.26</v>
      </c>
      <c r="H29" s="130">
        <f t="shared" si="1"/>
        <v>33037.2</v>
      </c>
      <c r="I29" s="131">
        <f>$I$12*0.1</f>
        <v>7014.8240000000005</v>
      </c>
      <c r="J29" s="123">
        <f t="shared" si="0"/>
        <v>40052.024</v>
      </c>
    </row>
    <row r="30" spans="1:10" ht="14.25" customHeight="1">
      <c r="A30" s="23"/>
      <c r="B30" s="253" t="s">
        <v>193</v>
      </c>
      <c r="C30" s="254"/>
      <c r="D30" s="255"/>
      <c r="E30" s="99" t="s">
        <v>9</v>
      </c>
      <c r="F30" s="119"/>
      <c r="G30" s="79"/>
      <c r="H30" s="130"/>
      <c r="I30" s="131"/>
      <c r="J30" s="133"/>
    </row>
    <row r="31" spans="1:10" ht="25.5">
      <c r="A31" s="23"/>
      <c r="B31" s="253" t="s">
        <v>194</v>
      </c>
      <c r="C31" s="254"/>
      <c r="D31" s="255"/>
      <c r="E31" s="98" t="s">
        <v>36</v>
      </c>
      <c r="F31" s="119"/>
      <c r="G31" s="79"/>
      <c r="H31" s="130"/>
      <c r="I31" s="131"/>
      <c r="J31" s="133"/>
    </row>
    <row r="32" spans="1:10" ht="13.5" customHeight="1">
      <c r="A32" s="23"/>
      <c r="B32" s="235"/>
      <c r="C32" s="236"/>
      <c r="D32" s="237"/>
      <c r="E32" s="99"/>
      <c r="F32" s="119"/>
      <c r="G32" s="79"/>
      <c r="H32" s="130"/>
      <c r="I32" s="131"/>
      <c r="J32" s="133"/>
    </row>
    <row r="33" spans="1:10" ht="15.75" customHeight="1" hidden="1">
      <c r="A33" s="23"/>
      <c r="B33" s="235"/>
      <c r="C33" s="236"/>
      <c r="D33" s="237"/>
      <c r="E33" s="99"/>
      <c r="F33" s="119"/>
      <c r="G33" s="79"/>
      <c r="H33" s="130"/>
      <c r="I33" s="131"/>
      <c r="J33" s="133"/>
    </row>
    <row r="34" spans="1:10" ht="15.75">
      <c r="A34" s="23"/>
      <c r="B34" s="215" t="s">
        <v>31</v>
      </c>
      <c r="C34" s="215"/>
      <c r="D34" s="215"/>
      <c r="E34" s="14"/>
      <c r="F34" s="119"/>
      <c r="G34" s="21">
        <f>SUM(G17:G29)</f>
        <v>11.34</v>
      </c>
      <c r="H34" s="134">
        <f>SUM(H17:H33)</f>
        <v>273292.19008000003</v>
      </c>
      <c r="I34" s="135">
        <f>SUM(I17:I33)</f>
        <v>61940.89592</v>
      </c>
      <c r="J34" s="134">
        <f>SUM(J17:J33)</f>
        <v>335233.086</v>
      </c>
    </row>
    <row r="35" spans="1:10" ht="15.75" customHeight="1">
      <c r="A35" s="23" t="s">
        <v>146</v>
      </c>
      <c r="B35" s="238" t="s">
        <v>160</v>
      </c>
      <c r="C35" s="239"/>
      <c r="D35" s="239"/>
      <c r="E35" s="240"/>
      <c r="F35" s="119" t="s">
        <v>186</v>
      </c>
      <c r="G35" s="24">
        <f>H35/E3/12</f>
        <v>2.1578947368421053</v>
      </c>
      <c r="H35" s="135">
        <v>56580</v>
      </c>
      <c r="I35" s="132">
        <v>0</v>
      </c>
      <c r="J35" s="122">
        <f t="shared" si="0"/>
        <v>56580</v>
      </c>
    </row>
    <row r="36" spans="1:10" ht="18.75">
      <c r="A36" s="25"/>
      <c r="B36" s="231" t="s">
        <v>70</v>
      </c>
      <c r="C36" s="231"/>
      <c r="D36" s="231"/>
      <c r="E36" s="231"/>
      <c r="F36" s="231"/>
      <c r="G36" s="5">
        <f>SUM(G34:G35)</f>
        <v>13.497894736842106</v>
      </c>
      <c r="H36" s="136">
        <f>SUM(H34:H35)</f>
        <v>329872.19008000003</v>
      </c>
      <c r="I36" s="137">
        <f>SUM(I34:I35)</f>
        <v>61940.89592</v>
      </c>
      <c r="J36" s="136">
        <f>SUM(J34:J35)</f>
        <v>391813.086</v>
      </c>
    </row>
    <row r="37" spans="1:10" ht="15.75">
      <c r="A37" s="23" t="s">
        <v>147</v>
      </c>
      <c r="B37" s="230" t="s">
        <v>161</v>
      </c>
      <c r="C37" s="230"/>
      <c r="D37" s="230"/>
      <c r="E37" s="230"/>
      <c r="F37" s="230"/>
      <c r="G37" s="120"/>
      <c r="H37" s="138"/>
      <c r="I37" s="138">
        <v>0</v>
      </c>
      <c r="J37" s="133">
        <f t="shared" si="0"/>
        <v>0</v>
      </c>
    </row>
    <row r="38" spans="1:10" ht="15.75" customHeight="1">
      <c r="A38" s="25"/>
      <c r="B38" s="231" t="s">
        <v>162</v>
      </c>
      <c r="C38" s="231"/>
      <c r="D38" s="231"/>
      <c r="E38" s="231"/>
      <c r="F38" s="231"/>
      <c r="G38" s="5">
        <f>SUM(G36:G37)</f>
        <v>13.497894736842106</v>
      </c>
      <c r="H38" s="136">
        <f>SUM(H36:H37)</f>
        <v>329872.19008000003</v>
      </c>
      <c r="I38" s="137">
        <f>SUM(I36:I37)</f>
        <v>61940.89592</v>
      </c>
      <c r="J38" s="136">
        <f>SUM(J36:J37)</f>
        <v>391813.086</v>
      </c>
    </row>
    <row r="39" spans="1:10" ht="15.75" customHeight="1">
      <c r="A39" s="23">
        <v>3</v>
      </c>
      <c r="B39" s="232" t="s">
        <v>163</v>
      </c>
      <c r="C39" s="233"/>
      <c r="D39" s="233"/>
      <c r="E39" s="233"/>
      <c r="F39" s="233"/>
      <c r="G39" s="234"/>
      <c r="H39" s="139">
        <f>H14-H38</f>
        <v>-9803.320080000034</v>
      </c>
      <c r="I39" s="130">
        <f>I14-I38</f>
        <v>1213507.34408</v>
      </c>
      <c r="J39" s="140">
        <f>J14-J38</f>
        <v>1203704.0239999997</v>
      </c>
    </row>
    <row r="41" spans="1:5" ht="15.75">
      <c r="A41" s="34" t="s">
        <v>142</v>
      </c>
      <c r="E41" s="34" t="s">
        <v>143</v>
      </c>
    </row>
    <row r="43" spans="1:3" ht="15.75">
      <c r="A43" s="111" t="s">
        <v>195</v>
      </c>
      <c r="B43" s="111"/>
      <c r="C43" s="72"/>
    </row>
    <row r="44" spans="1:3" ht="15.75">
      <c r="A44" s="202" t="s">
        <v>88</v>
      </c>
      <c r="B44" s="202"/>
      <c r="C44" s="202"/>
    </row>
  </sheetData>
  <mergeCells count="36">
    <mergeCell ref="B31:D31"/>
    <mergeCell ref="B32:D32"/>
    <mergeCell ref="B27:D27"/>
    <mergeCell ref="B28:D28"/>
    <mergeCell ref="B25:D25"/>
    <mergeCell ref="B26:D26"/>
    <mergeCell ref="B29:D29"/>
    <mergeCell ref="B30:D30"/>
    <mergeCell ref="B18:D18"/>
    <mergeCell ref="B23:D23"/>
    <mergeCell ref="B24:D24"/>
    <mergeCell ref="B19:D19"/>
    <mergeCell ref="A44:C44"/>
    <mergeCell ref="B11:F11"/>
    <mergeCell ref="B12:F12"/>
    <mergeCell ref="B13:F13"/>
    <mergeCell ref="B14:F14"/>
    <mergeCell ref="B15:F15"/>
    <mergeCell ref="B20:D20"/>
    <mergeCell ref="B21:D21"/>
    <mergeCell ref="B22:D22"/>
    <mergeCell ref="B17:D17"/>
    <mergeCell ref="B8:F8"/>
    <mergeCell ref="B9:F9"/>
    <mergeCell ref="B10:F10"/>
    <mergeCell ref="B7:D7"/>
    <mergeCell ref="B37:F37"/>
    <mergeCell ref="B38:F38"/>
    <mergeCell ref="B39:G39"/>
    <mergeCell ref="A1:J1"/>
    <mergeCell ref="A2:J2"/>
    <mergeCell ref="B33:D33"/>
    <mergeCell ref="B34:D34"/>
    <mergeCell ref="B35:E35"/>
    <mergeCell ref="B36:F36"/>
    <mergeCell ref="H7:J7"/>
  </mergeCells>
  <printOptions/>
  <pageMargins left="0.46" right="0" top="0" bottom="0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6">
      <selection activeCell="H23" sqref="H2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125" style="0" customWidth="1"/>
    <col min="6" max="6" width="9.125" style="0" hidden="1" customWidth="1"/>
    <col min="7" max="7" width="11.25390625" style="0" bestFit="1" customWidth="1"/>
    <col min="8" max="8" width="13.75390625" style="0" customWidth="1"/>
    <col min="9" max="9" width="9.875" style="0" bestFit="1" customWidth="1"/>
  </cols>
  <sheetData>
    <row r="1" spans="1:8" ht="114.75" customHeight="1">
      <c r="A1" s="222" t="s">
        <v>197</v>
      </c>
      <c r="B1" s="222"/>
      <c r="C1" s="222"/>
      <c r="D1" s="222"/>
      <c r="E1" s="222"/>
      <c r="F1" s="222"/>
      <c r="G1" s="222"/>
      <c r="H1" s="222"/>
    </row>
    <row r="2" spans="1:6" ht="18.75">
      <c r="A2" s="1" t="s">
        <v>80</v>
      </c>
      <c r="B2" s="1" t="s">
        <v>81</v>
      </c>
      <c r="C2" s="2"/>
      <c r="D2" s="2" t="s">
        <v>0</v>
      </c>
      <c r="E2" s="4">
        <v>2185</v>
      </c>
      <c r="F2" s="2"/>
    </row>
    <row r="3" spans="2:6" ht="15.75">
      <c r="B3" s="3" t="s">
        <v>1</v>
      </c>
      <c r="C3" s="37">
        <v>9</v>
      </c>
      <c r="D3" s="2" t="s">
        <v>2</v>
      </c>
      <c r="E3" s="4">
        <v>48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4.5" customHeight="1">
      <c r="A6" s="73" t="s">
        <v>61</v>
      </c>
      <c r="B6" s="256" t="s">
        <v>150</v>
      </c>
      <c r="C6" s="257"/>
      <c r="D6" s="258"/>
      <c r="E6" s="74" t="s">
        <v>6</v>
      </c>
      <c r="F6" s="74" t="s">
        <v>7</v>
      </c>
      <c r="G6" s="105" t="s">
        <v>135</v>
      </c>
      <c r="H6" s="75" t="s">
        <v>136</v>
      </c>
    </row>
    <row r="7" spans="1:8" ht="15.75" customHeight="1">
      <c r="A7" s="76">
        <v>1</v>
      </c>
      <c r="B7" s="259" t="s">
        <v>137</v>
      </c>
      <c r="C7" s="259"/>
      <c r="D7" s="259"/>
      <c r="E7" s="259"/>
      <c r="F7" s="259"/>
      <c r="G7" s="77"/>
      <c r="H7" s="78"/>
    </row>
    <row r="8" spans="1:8" ht="15.75" customHeight="1">
      <c r="A8" s="76"/>
      <c r="B8" s="213" t="s">
        <v>181</v>
      </c>
      <c r="C8" s="213"/>
      <c r="D8" s="213"/>
      <c r="E8" s="213"/>
      <c r="F8" s="213"/>
      <c r="G8" s="24">
        <f>G27</f>
        <v>14.549999999999997</v>
      </c>
      <c r="H8" s="78">
        <f>ROUND($E$2*G8*12,0)</f>
        <v>381501</v>
      </c>
    </row>
    <row r="9" spans="1:8" ht="15.75" customHeight="1">
      <c r="A9" s="76"/>
      <c r="B9" s="262" t="s">
        <v>138</v>
      </c>
      <c r="C9" s="262"/>
      <c r="D9" s="262"/>
      <c r="E9" s="262"/>
      <c r="F9" s="262"/>
      <c r="G9" s="24">
        <v>0.76</v>
      </c>
      <c r="H9" s="78">
        <f>ROUND($E$2*G9*12,0)</f>
        <v>19927</v>
      </c>
    </row>
    <row r="10" spans="1:8" ht="15.75" customHeight="1">
      <c r="A10" s="76">
        <v>2</v>
      </c>
      <c r="B10" s="221" t="s">
        <v>66</v>
      </c>
      <c r="C10" s="221"/>
      <c r="D10" s="221"/>
      <c r="E10" s="221"/>
      <c r="F10" s="221"/>
      <c r="G10" s="83"/>
      <c r="H10" s="78"/>
    </row>
    <row r="11" spans="1:8" ht="18.75" customHeight="1">
      <c r="A11" s="76"/>
      <c r="B11" s="19" t="s">
        <v>67</v>
      </c>
      <c r="C11" s="19"/>
      <c r="D11" s="19"/>
      <c r="E11" s="19"/>
      <c r="F11" s="5"/>
      <c r="G11" s="113"/>
      <c r="H11" s="78"/>
    </row>
    <row r="12" spans="1:8" ht="30.75" customHeight="1">
      <c r="A12" s="81"/>
      <c r="B12" s="260" t="s">
        <v>139</v>
      </c>
      <c r="C12" s="260"/>
      <c r="D12" s="260"/>
      <c r="E12" s="98" t="s">
        <v>33</v>
      </c>
      <c r="F12" s="82" t="s">
        <v>25</v>
      </c>
      <c r="G12" s="83">
        <v>1.22</v>
      </c>
      <c r="H12" s="84">
        <f aca="true" t="shared" si="0" ref="H12:H27">ROUND($E$2*G12*12,0)</f>
        <v>31988</v>
      </c>
    </row>
    <row r="13" spans="1:9" ht="15.75" customHeight="1">
      <c r="A13" s="81"/>
      <c r="B13" s="260" t="s">
        <v>18</v>
      </c>
      <c r="C13" s="260"/>
      <c r="D13" s="260"/>
      <c r="E13" s="98" t="s">
        <v>33</v>
      </c>
      <c r="F13" s="82" t="s">
        <v>20</v>
      </c>
      <c r="G13" s="83">
        <v>0.28</v>
      </c>
      <c r="H13" s="84">
        <f t="shared" si="0"/>
        <v>7342</v>
      </c>
      <c r="I13" s="31"/>
    </row>
    <row r="14" spans="1:8" ht="18.75" customHeight="1">
      <c r="A14" s="81"/>
      <c r="B14" s="261" t="s">
        <v>24</v>
      </c>
      <c r="C14" s="261"/>
      <c r="D14" s="261"/>
      <c r="E14" s="99" t="s">
        <v>156</v>
      </c>
      <c r="F14" s="46" t="s">
        <v>21</v>
      </c>
      <c r="G14" s="83">
        <v>1.06</v>
      </c>
      <c r="H14" s="84">
        <f t="shared" si="0"/>
        <v>27793</v>
      </c>
    </row>
    <row r="15" spans="1:8" ht="15.75" customHeight="1">
      <c r="A15" s="81"/>
      <c r="B15" s="271" t="s">
        <v>32</v>
      </c>
      <c r="C15" s="271"/>
      <c r="D15" s="271"/>
      <c r="E15" s="100" t="s">
        <v>9</v>
      </c>
      <c r="F15" s="85" t="s">
        <v>10</v>
      </c>
      <c r="G15" s="83">
        <v>0.51</v>
      </c>
      <c r="H15" s="84">
        <f t="shared" si="0"/>
        <v>13372</v>
      </c>
    </row>
    <row r="16" spans="1:8" ht="31.5" customHeight="1">
      <c r="A16" s="81"/>
      <c r="B16" s="261" t="s">
        <v>28</v>
      </c>
      <c r="C16" s="261"/>
      <c r="D16" s="261"/>
      <c r="E16" s="99" t="s">
        <v>157</v>
      </c>
      <c r="F16" s="46" t="s">
        <v>26</v>
      </c>
      <c r="G16" s="83">
        <v>0.12</v>
      </c>
      <c r="H16" s="84">
        <f t="shared" si="0"/>
        <v>3146</v>
      </c>
    </row>
    <row r="17" spans="1:8" ht="15.75" customHeight="1">
      <c r="A17" s="81"/>
      <c r="B17" s="261" t="s">
        <v>11</v>
      </c>
      <c r="C17" s="261"/>
      <c r="D17" s="261"/>
      <c r="E17" s="99" t="s">
        <v>9</v>
      </c>
      <c r="F17" s="46" t="s">
        <v>12</v>
      </c>
      <c r="G17" s="83">
        <v>2.22</v>
      </c>
      <c r="H17" s="84">
        <f t="shared" si="0"/>
        <v>58208</v>
      </c>
    </row>
    <row r="18" spans="1:8" ht="15.75" customHeight="1">
      <c r="A18" s="81"/>
      <c r="B18" s="261" t="s">
        <v>27</v>
      </c>
      <c r="C18" s="267"/>
      <c r="D18" s="267"/>
      <c r="E18" s="101" t="s">
        <v>13</v>
      </c>
      <c r="F18" s="79" t="s">
        <v>140</v>
      </c>
      <c r="G18" s="83">
        <v>0.04</v>
      </c>
      <c r="H18" s="84">
        <f t="shared" si="0"/>
        <v>1049</v>
      </c>
    </row>
    <row r="19" spans="1:8" ht="33" customHeight="1">
      <c r="A19" s="81"/>
      <c r="B19" s="261" t="s">
        <v>72</v>
      </c>
      <c r="C19" s="261"/>
      <c r="D19" s="261"/>
      <c r="E19" s="98" t="s">
        <v>36</v>
      </c>
      <c r="F19" s="46" t="s">
        <v>186</v>
      </c>
      <c r="G19" s="83">
        <v>2.15</v>
      </c>
      <c r="H19" s="84">
        <f t="shared" si="0"/>
        <v>56373</v>
      </c>
    </row>
    <row r="20" spans="1:8" ht="51" customHeight="1">
      <c r="A20" s="81"/>
      <c r="B20" s="260" t="s">
        <v>15</v>
      </c>
      <c r="C20" s="260"/>
      <c r="D20" s="260"/>
      <c r="E20" s="98" t="s">
        <v>141</v>
      </c>
      <c r="F20" s="46" t="s">
        <v>186</v>
      </c>
      <c r="G20" s="83">
        <v>0.53</v>
      </c>
      <c r="H20" s="84">
        <f t="shared" si="0"/>
        <v>13897</v>
      </c>
    </row>
    <row r="21" spans="1:8" ht="31.5" customHeight="1">
      <c r="A21" s="81"/>
      <c r="B21" s="261" t="s">
        <v>37</v>
      </c>
      <c r="C21" s="267"/>
      <c r="D21" s="267"/>
      <c r="E21" s="98" t="s">
        <v>36</v>
      </c>
      <c r="F21" s="46" t="s">
        <v>186</v>
      </c>
      <c r="G21" s="83">
        <f>3.52-G22-G23</f>
        <v>3.23</v>
      </c>
      <c r="H21" s="84">
        <f t="shared" si="0"/>
        <v>84691</v>
      </c>
    </row>
    <row r="22" spans="1:8" ht="36.75" customHeight="1">
      <c r="A22" s="81"/>
      <c r="B22" s="261" t="s">
        <v>182</v>
      </c>
      <c r="C22" s="261"/>
      <c r="D22" s="261"/>
      <c r="E22" s="99" t="s">
        <v>9</v>
      </c>
      <c r="F22" s="46" t="s">
        <v>186</v>
      </c>
      <c r="G22" s="83">
        <v>0.29</v>
      </c>
      <c r="H22" s="84">
        <f t="shared" si="0"/>
        <v>7604</v>
      </c>
    </row>
    <row r="23" spans="1:8" ht="36.75" customHeight="1">
      <c r="A23" s="81"/>
      <c r="B23" s="261" t="s">
        <v>159</v>
      </c>
      <c r="C23" s="261"/>
      <c r="D23" s="261"/>
      <c r="E23" s="99" t="s">
        <v>9</v>
      </c>
      <c r="F23" s="46" t="s">
        <v>186</v>
      </c>
      <c r="G23" s="83">
        <v>0</v>
      </c>
      <c r="H23" s="84">
        <f t="shared" si="0"/>
        <v>0</v>
      </c>
    </row>
    <row r="24" spans="1:8" ht="39" customHeight="1">
      <c r="A24" s="81"/>
      <c r="B24" s="267" t="s">
        <v>22</v>
      </c>
      <c r="C24" s="267"/>
      <c r="D24" s="267"/>
      <c r="E24" s="98" t="s">
        <v>36</v>
      </c>
      <c r="F24" s="46" t="s">
        <v>186</v>
      </c>
      <c r="G24" s="83">
        <v>1.45</v>
      </c>
      <c r="H24" s="84">
        <f t="shared" si="0"/>
        <v>38019</v>
      </c>
    </row>
    <row r="25" spans="1:8" ht="15.75">
      <c r="A25" s="81"/>
      <c r="B25" s="268" t="s">
        <v>31</v>
      </c>
      <c r="C25" s="269"/>
      <c r="D25" s="270"/>
      <c r="E25" s="14"/>
      <c r="F25" s="46"/>
      <c r="G25" s="21">
        <f>SUM(G12:G24)</f>
        <v>13.099999999999998</v>
      </c>
      <c r="H25" s="84">
        <f t="shared" si="0"/>
        <v>343482</v>
      </c>
    </row>
    <row r="26" spans="1:8" ht="31.5" customHeight="1">
      <c r="A26" s="76" t="s">
        <v>146</v>
      </c>
      <c r="B26" s="238" t="s">
        <v>183</v>
      </c>
      <c r="C26" s="239"/>
      <c r="D26" s="239"/>
      <c r="E26" s="240"/>
      <c r="F26" s="27" t="s">
        <v>187</v>
      </c>
      <c r="G26" s="24">
        <v>1.45</v>
      </c>
      <c r="H26" s="84">
        <f t="shared" si="0"/>
        <v>38019</v>
      </c>
    </row>
    <row r="27" spans="1:8" ht="15.75" customHeight="1">
      <c r="A27" s="76"/>
      <c r="B27" s="263" t="s">
        <v>184</v>
      </c>
      <c r="C27" s="263"/>
      <c r="D27" s="263"/>
      <c r="E27" s="263"/>
      <c r="F27" s="263"/>
      <c r="G27" s="21">
        <f>SUM(G25:G26)</f>
        <v>14.549999999999997</v>
      </c>
      <c r="H27" s="106">
        <f t="shared" si="0"/>
        <v>381501</v>
      </c>
    </row>
    <row r="28" spans="1:8" ht="16.5" customHeight="1" thickBot="1">
      <c r="A28" s="107">
        <v>3</v>
      </c>
      <c r="B28" s="264" t="s">
        <v>185</v>
      </c>
      <c r="C28" s="265"/>
      <c r="D28" s="266"/>
      <c r="E28" s="108"/>
      <c r="F28" s="109" t="s">
        <v>187</v>
      </c>
      <c r="G28" s="114">
        <v>0.76</v>
      </c>
      <c r="H28" s="110">
        <f>ROUND($E$2*G28*12,0)</f>
        <v>19927</v>
      </c>
    </row>
    <row r="29" spans="1:8" ht="18.75">
      <c r="A29" s="86"/>
      <c r="B29" s="87"/>
      <c r="C29" s="87"/>
      <c r="D29" s="87"/>
      <c r="E29" s="87"/>
      <c r="F29" s="88"/>
      <c r="G29" s="89"/>
      <c r="H29" s="90"/>
    </row>
    <row r="30" spans="2:8" ht="22.5" customHeight="1">
      <c r="B30" s="34" t="s">
        <v>142</v>
      </c>
      <c r="E30" s="34" t="s">
        <v>143</v>
      </c>
      <c r="F30" s="34" t="s">
        <v>143</v>
      </c>
      <c r="G30" s="112" t="s">
        <v>143</v>
      </c>
      <c r="H30" s="92"/>
    </row>
    <row r="31" spans="7:8" ht="15.75">
      <c r="G31" s="91"/>
      <c r="H31" s="92"/>
    </row>
    <row r="32" spans="6:8" ht="15.75">
      <c r="F32" t="s">
        <v>144</v>
      </c>
      <c r="G32" s="91"/>
      <c r="H32" s="92"/>
    </row>
    <row r="33" spans="7:8" ht="15.75" customHeight="1">
      <c r="G33" s="91"/>
      <c r="H33" s="92"/>
    </row>
    <row r="34" spans="7:8" ht="15.75" customHeight="1">
      <c r="G34" s="91"/>
      <c r="H34" s="92"/>
    </row>
    <row r="35" spans="7:8" ht="15.75" customHeight="1">
      <c r="G35" s="91"/>
      <c r="H35" s="92"/>
    </row>
    <row r="36" spans="2:6" ht="28.5" customHeight="1">
      <c r="B36" s="34"/>
      <c r="F36" s="34"/>
    </row>
  </sheetData>
  <mergeCells count="23">
    <mergeCell ref="B15:D15"/>
    <mergeCell ref="B16:D16"/>
    <mergeCell ref="B17:D17"/>
    <mergeCell ref="B18:D18"/>
    <mergeCell ref="B26:E26"/>
    <mergeCell ref="B27:F27"/>
    <mergeCell ref="B28:D28"/>
    <mergeCell ref="B19:D19"/>
    <mergeCell ref="B24:D24"/>
    <mergeCell ref="B25:D25"/>
    <mergeCell ref="B20:D20"/>
    <mergeCell ref="B21:D21"/>
    <mergeCell ref="B22:D22"/>
    <mergeCell ref="B23:D23"/>
    <mergeCell ref="B14:D14"/>
    <mergeCell ref="B8:F8"/>
    <mergeCell ref="B9:F9"/>
    <mergeCell ref="B10:F10"/>
    <mergeCell ref="B12:D12"/>
    <mergeCell ref="A1:H1"/>
    <mergeCell ref="B6:D6"/>
    <mergeCell ref="B7:F7"/>
    <mergeCell ref="B13:D13"/>
  </mergeCells>
  <printOptions/>
  <pageMargins left="0.66" right="0" top="0" bottom="0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J1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23.875" style="0" customWidth="1"/>
    <col min="5" max="5" width="16.625" style="0" customWidth="1"/>
    <col min="6" max="6" width="0.12890625" style="91" hidden="1" customWidth="1"/>
    <col min="7" max="7" width="6.75390625" style="0" bestFit="1" customWidth="1"/>
    <col min="8" max="8" width="12.875" style="0" customWidth="1"/>
    <col min="9" max="9" width="11.875" style="0" customWidth="1"/>
    <col min="10" max="10" width="14.375" style="0" customWidth="1"/>
    <col min="11" max="11" width="10.00390625" style="0" bestFit="1" customWidth="1"/>
  </cols>
  <sheetData>
    <row r="1" spans="1:10" ht="102" customHeight="1">
      <c r="A1" s="203" t="s">
        <v>215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56.25" customHeight="1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8" ht="18.75">
      <c r="A3" s="1" t="s">
        <v>80</v>
      </c>
      <c r="B3" s="1" t="s">
        <v>81</v>
      </c>
      <c r="C3" s="2"/>
      <c r="D3" s="2" t="s">
        <v>0</v>
      </c>
      <c r="E3" s="4">
        <v>2185</v>
      </c>
      <c r="G3" s="93"/>
      <c r="H3" s="93">
        <v>251.95</v>
      </c>
    </row>
    <row r="4" spans="2:8" ht="15.75">
      <c r="B4" s="3" t="s">
        <v>1</v>
      </c>
      <c r="C4" s="37">
        <v>9</v>
      </c>
      <c r="D4" s="2" t="s">
        <v>2</v>
      </c>
      <c r="E4" s="4">
        <v>48</v>
      </c>
      <c r="H4" t="s">
        <v>101</v>
      </c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95"/>
      <c r="G5" s="2"/>
      <c r="H5" s="2" t="s">
        <v>148</v>
      </c>
    </row>
    <row r="6" spans="2:8" ht="15.75">
      <c r="B6" s="3"/>
      <c r="C6" s="4"/>
      <c r="D6" s="2" t="s">
        <v>5</v>
      </c>
      <c r="E6" s="2" t="s">
        <v>16</v>
      </c>
      <c r="F6" s="95"/>
      <c r="H6" t="s">
        <v>149</v>
      </c>
    </row>
    <row r="7" spans="1:10" ht="42.75" customHeight="1">
      <c r="A7" s="22" t="s">
        <v>61</v>
      </c>
      <c r="B7" s="245" t="s">
        <v>150</v>
      </c>
      <c r="C7" s="246"/>
      <c r="D7" s="247"/>
      <c r="E7" s="11" t="s">
        <v>6</v>
      </c>
      <c r="F7" s="11" t="s">
        <v>7</v>
      </c>
      <c r="G7" s="33" t="s">
        <v>23</v>
      </c>
      <c r="H7" s="241" t="s">
        <v>188</v>
      </c>
      <c r="I7" s="242"/>
      <c r="J7" s="243"/>
    </row>
    <row r="8" spans="1:10" ht="15.75">
      <c r="A8" s="23">
        <v>1</v>
      </c>
      <c r="B8" s="227"/>
      <c r="C8" s="228"/>
      <c r="D8" s="228"/>
      <c r="E8" s="228"/>
      <c r="F8" s="229"/>
      <c r="G8" s="115"/>
      <c r="H8" s="116" t="s">
        <v>189</v>
      </c>
      <c r="I8" s="117" t="s">
        <v>190</v>
      </c>
      <c r="J8" s="117" t="s">
        <v>191</v>
      </c>
    </row>
    <row r="9" spans="1:10" ht="15.75" customHeight="1">
      <c r="A9" s="23"/>
      <c r="B9" s="227" t="s">
        <v>151</v>
      </c>
      <c r="C9" s="228"/>
      <c r="D9" s="228"/>
      <c r="E9" s="228"/>
      <c r="F9" s="229"/>
      <c r="G9" s="80"/>
      <c r="H9" s="80"/>
      <c r="I9" s="54"/>
      <c r="J9" s="117"/>
    </row>
    <row r="10" spans="1:10" ht="15.75" customHeight="1">
      <c r="A10" s="96"/>
      <c r="B10" s="244" t="s">
        <v>152</v>
      </c>
      <c r="C10" s="244"/>
      <c r="D10" s="244"/>
      <c r="E10" s="244"/>
      <c r="F10" s="244"/>
      <c r="G10" s="15"/>
      <c r="H10" s="97">
        <v>345078.87</v>
      </c>
      <c r="I10" s="77"/>
      <c r="J10" s="104">
        <f>H10+I10</f>
        <v>345078.87</v>
      </c>
    </row>
    <row r="11" spans="1:10" ht="15.75" customHeight="1">
      <c r="A11" s="96"/>
      <c r="B11" s="244" t="s">
        <v>153</v>
      </c>
      <c r="C11" s="244"/>
      <c r="D11" s="244"/>
      <c r="E11" s="244"/>
      <c r="F11" s="244"/>
      <c r="G11" s="15"/>
      <c r="H11" s="16">
        <v>17810.31</v>
      </c>
      <c r="I11" s="77"/>
      <c r="J11" s="104">
        <f>H11+I11</f>
        <v>17810.31</v>
      </c>
    </row>
    <row r="12" spans="1:10" ht="15.75" customHeight="1">
      <c r="A12" s="23"/>
      <c r="B12" s="244" t="s">
        <v>154</v>
      </c>
      <c r="C12" s="244"/>
      <c r="D12" s="244"/>
      <c r="E12" s="244"/>
      <c r="F12" s="244"/>
      <c r="G12" s="15"/>
      <c r="H12" s="97"/>
      <c r="I12" s="77">
        <v>39999.6</v>
      </c>
      <c r="J12" s="104">
        <f>H12+I12</f>
        <v>39999.6</v>
      </c>
    </row>
    <row r="13" spans="1:10" ht="18.75" customHeight="1">
      <c r="A13" s="23"/>
      <c r="B13" s="244" t="s">
        <v>192</v>
      </c>
      <c r="C13" s="244"/>
      <c r="D13" s="244"/>
      <c r="E13" s="244"/>
      <c r="F13" s="244"/>
      <c r="G13" s="15"/>
      <c r="H13" s="97">
        <v>1205285</v>
      </c>
      <c r="I13" s="118">
        <v>0</v>
      </c>
      <c r="J13" s="104">
        <f>H13+I13</f>
        <v>1205285</v>
      </c>
    </row>
    <row r="14" spans="1:10" ht="15.75">
      <c r="A14" s="23"/>
      <c r="B14" s="213" t="s">
        <v>155</v>
      </c>
      <c r="C14" s="213"/>
      <c r="D14" s="213"/>
      <c r="E14" s="213"/>
      <c r="F14" s="213"/>
      <c r="G14" s="15"/>
      <c r="H14" s="122">
        <f>SUM(H10:H13)</f>
        <v>1568174.18</v>
      </c>
      <c r="I14" s="123">
        <f>SUM(I10:I13)</f>
        <v>39999.6</v>
      </c>
      <c r="J14" s="122">
        <f>SUM(J10:J13)</f>
        <v>1608173.78</v>
      </c>
    </row>
    <row r="15" spans="1:10" ht="15.75" customHeight="1">
      <c r="A15" s="23">
        <v>2</v>
      </c>
      <c r="B15" s="221" t="s">
        <v>66</v>
      </c>
      <c r="C15" s="221"/>
      <c r="D15" s="221"/>
      <c r="E15" s="221"/>
      <c r="F15" s="221"/>
      <c r="G15" s="15"/>
      <c r="H15" s="124"/>
      <c r="I15" s="125"/>
      <c r="J15" s="126"/>
    </row>
    <row r="16" spans="1:10" ht="15.75" customHeight="1">
      <c r="A16" s="23" t="s">
        <v>145</v>
      </c>
      <c r="B16" s="19" t="s">
        <v>67</v>
      </c>
      <c r="C16" s="19"/>
      <c r="D16" s="19"/>
      <c r="E16" s="19"/>
      <c r="F16" s="5"/>
      <c r="G16" s="116"/>
      <c r="H16" s="127"/>
      <c r="I16" s="128"/>
      <c r="J16" s="129"/>
    </row>
    <row r="17" spans="1:10" ht="27" customHeight="1">
      <c r="A17" s="26"/>
      <c r="B17" s="248" t="s">
        <v>139</v>
      </c>
      <c r="C17" s="248"/>
      <c r="D17" s="248"/>
      <c r="E17" s="98" t="s">
        <v>33</v>
      </c>
      <c r="F17" s="82" t="s">
        <v>25</v>
      </c>
      <c r="G17" s="83">
        <v>1.22</v>
      </c>
      <c r="H17" s="130">
        <f>ROUND(G17*$E$3*12,2)</f>
        <v>31988.4</v>
      </c>
      <c r="I17" s="131">
        <f>$I$12*0.08</f>
        <v>3199.968</v>
      </c>
      <c r="J17" s="141">
        <f>SUM(H17:I17)</f>
        <v>35188.368</v>
      </c>
    </row>
    <row r="18" spans="1:10" ht="20.25" customHeight="1">
      <c r="A18" s="23"/>
      <c r="B18" s="250" t="s">
        <v>18</v>
      </c>
      <c r="C18" s="250"/>
      <c r="D18" s="250"/>
      <c r="E18" s="98" t="s">
        <v>33</v>
      </c>
      <c r="F18" s="82" t="s">
        <v>20</v>
      </c>
      <c r="G18" s="83">
        <v>0.28</v>
      </c>
      <c r="H18" s="130">
        <f>ROUND(G18*$E$3*12,2)</f>
        <v>7341.6</v>
      </c>
      <c r="I18" s="131">
        <f>$I$12*0.02</f>
        <v>799.992</v>
      </c>
      <c r="J18" s="141">
        <f>SUM(H18:I18)</f>
        <v>8141.592000000001</v>
      </c>
    </row>
    <row r="19" spans="1:10" ht="24.75" customHeight="1">
      <c r="A19" s="23"/>
      <c r="B19" s="249" t="s">
        <v>24</v>
      </c>
      <c r="C19" s="249"/>
      <c r="D19" s="249"/>
      <c r="E19" s="99" t="s">
        <v>156</v>
      </c>
      <c r="F19" s="46" t="s">
        <v>21</v>
      </c>
      <c r="G19" s="83">
        <v>0.99</v>
      </c>
      <c r="H19" s="130">
        <f>J19-I19</f>
        <v>24447.588</v>
      </c>
      <c r="I19" s="131">
        <f>$I$12*0.07</f>
        <v>2799.972</v>
      </c>
      <c r="J19" s="141">
        <v>27247.56</v>
      </c>
    </row>
    <row r="20" spans="1:10" ht="20.25" customHeight="1">
      <c r="A20" s="26"/>
      <c r="B20" s="248" t="s">
        <v>32</v>
      </c>
      <c r="C20" s="248"/>
      <c r="D20" s="248"/>
      <c r="E20" s="100" t="s">
        <v>9</v>
      </c>
      <c r="F20" s="85" t="s">
        <v>10</v>
      </c>
      <c r="G20" s="83">
        <v>0.51</v>
      </c>
      <c r="H20" s="130">
        <f>ROUND(G20*$E$3*12,2)</f>
        <v>13372.2</v>
      </c>
      <c r="I20" s="131">
        <f>$I$12*0.04</f>
        <v>1599.984</v>
      </c>
      <c r="J20" s="141">
        <f>SUM(H20:I20)</f>
        <v>14972.184000000001</v>
      </c>
    </row>
    <row r="21" spans="1:10" ht="35.25" customHeight="1">
      <c r="A21" s="23"/>
      <c r="B21" s="249" t="s">
        <v>28</v>
      </c>
      <c r="C21" s="249"/>
      <c r="D21" s="249"/>
      <c r="E21" s="99" t="s">
        <v>157</v>
      </c>
      <c r="F21" s="46" t="s">
        <v>26</v>
      </c>
      <c r="G21" s="83">
        <v>0.12</v>
      </c>
      <c r="H21" s="130">
        <f>J21-I21</f>
        <v>2310.824</v>
      </c>
      <c r="I21" s="131">
        <f>$I$12*0.01</f>
        <v>399.996</v>
      </c>
      <c r="J21" s="141">
        <v>2710.82</v>
      </c>
    </row>
    <row r="22" spans="1:10" ht="28.5" customHeight="1">
      <c r="A22" s="26"/>
      <c r="B22" s="249" t="s">
        <v>11</v>
      </c>
      <c r="C22" s="249"/>
      <c r="D22" s="249"/>
      <c r="E22" s="99" t="s">
        <v>9</v>
      </c>
      <c r="F22" s="46" t="s">
        <v>12</v>
      </c>
      <c r="G22" s="83">
        <v>2.22</v>
      </c>
      <c r="H22" s="130">
        <f>J22-I22</f>
        <v>51167.06</v>
      </c>
      <c r="I22" s="131">
        <v>0</v>
      </c>
      <c r="J22" s="142">
        <v>51167.06</v>
      </c>
    </row>
    <row r="23" spans="1:10" ht="26.25" customHeight="1">
      <c r="A23" s="26"/>
      <c r="B23" s="249" t="s">
        <v>27</v>
      </c>
      <c r="C23" s="251"/>
      <c r="D23" s="251"/>
      <c r="E23" s="101" t="s">
        <v>13</v>
      </c>
      <c r="F23" s="79" t="s">
        <v>14</v>
      </c>
      <c r="G23" s="83">
        <v>0.05</v>
      </c>
      <c r="H23" s="130">
        <f>J23-I23</f>
        <v>2436.7912</v>
      </c>
      <c r="I23" s="131">
        <f>$I$12*0.003</f>
        <v>119.9988</v>
      </c>
      <c r="J23" s="141">
        <v>2556.79</v>
      </c>
    </row>
    <row r="24" spans="1:10" ht="30" customHeight="1">
      <c r="A24" s="23"/>
      <c r="B24" s="249" t="s">
        <v>72</v>
      </c>
      <c r="C24" s="249"/>
      <c r="D24" s="249"/>
      <c r="E24" s="98" t="s">
        <v>36</v>
      </c>
      <c r="F24" s="119" t="s">
        <v>186</v>
      </c>
      <c r="G24" s="83">
        <v>2.15</v>
      </c>
      <c r="H24" s="130">
        <f aca="true" t="shared" si="0" ref="H24:H29">ROUND(G24*$E$3*12,2)</f>
        <v>56373</v>
      </c>
      <c r="I24" s="131">
        <f>$I$12*0.19</f>
        <v>7599.924</v>
      </c>
      <c r="J24" s="141">
        <f aca="true" t="shared" si="1" ref="J24:J29">SUM(H24:I24)</f>
        <v>63972.924</v>
      </c>
    </row>
    <row r="25" spans="1:10" ht="26.25" customHeight="1">
      <c r="A25" s="23"/>
      <c r="B25" s="250" t="s">
        <v>15</v>
      </c>
      <c r="C25" s="250"/>
      <c r="D25" s="250"/>
      <c r="E25" s="98" t="s">
        <v>36</v>
      </c>
      <c r="F25" s="119" t="s">
        <v>186</v>
      </c>
      <c r="G25" s="83">
        <v>0.53</v>
      </c>
      <c r="H25" s="130">
        <f t="shared" si="0"/>
        <v>13896.6</v>
      </c>
      <c r="I25" s="131">
        <v>0</v>
      </c>
      <c r="J25" s="141">
        <f t="shared" si="1"/>
        <v>13896.6</v>
      </c>
    </row>
    <row r="26" spans="1:10" ht="28.5" customHeight="1">
      <c r="A26" s="23"/>
      <c r="B26" s="252" t="s">
        <v>37</v>
      </c>
      <c r="C26" s="236"/>
      <c r="D26" s="237"/>
      <c r="E26" s="98" t="s">
        <v>36</v>
      </c>
      <c r="F26" s="119" t="s">
        <v>186</v>
      </c>
      <c r="G26" s="102">
        <f>3.52-G27-G28</f>
        <v>3.23</v>
      </c>
      <c r="H26" s="130">
        <f t="shared" si="0"/>
        <v>84690.6</v>
      </c>
      <c r="I26" s="131">
        <f>$I$12*(0.18+0.02)</f>
        <v>7999.919999999999</v>
      </c>
      <c r="J26" s="141">
        <f t="shared" si="1"/>
        <v>92690.52</v>
      </c>
    </row>
    <row r="27" spans="1:10" ht="27" customHeight="1">
      <c r="A27" s="26"/>
      <c r="B27" s="249" t="s">
        <v>158</v>
      </c>
      <c r="C27" s="249"/>
      <c r="D27" s="249"/>
      <c r="E27" s="98" t="s">
        <v>36</v>
      </c>
      <c r="F27" s="119" t="s">
        <v>186</v>
      </c>
      <c r="G27" s="102">
        <v>0.29</v>
      </c>
      <c r="H27" s="130">
        <f t="shared" si="0"/>
        <v>7603.8</v>
      </c>
      <c r="I27" s="131">
        <f>$I$12*0.02</f>
        <v>799.992</v>
      </c>
      <c r="J27" s="141">
        <f t="shared" si="1"/>
        <v>8403.792</v>
      </c>
    </row>
    <row r="28" spans="1:11" ht="27.75" customHeight="1">
      <c r="A28" s="23"/>
      <c r="B28" s="249" t="s">
        <v>159</v>
      </c>
      <c r="C28" s="249"/>
      <c r="D28" s="249"/>
      <c r="E28" s="99" t="s">
        <v>9</v>
      </c>
      <c r="F28" s="119" t="s">
        <v>186</v>
      </c>
      <c r="G28" s="102">
        <v>0</v>
      </c>
      <c r="H28" s="130">
        <f t="shared" si="0"/>
        <v>0</v>
      </c>
      <c r="I28" s="131">
        <v>0</v>
      </c>
      <c r="J28" s="141">
        <f t="shared" si="1"/>
        <v>0</v>
      </c>
      <c r="K28" s="103"/>
    </row>
    <row r="29" spans="1:10" ht="26.25" customHeight="1">
      <c r="A29" s="23"/>
      <c r="B29" s="251" t="s">
        <v>22</v>
      </c>
      <c r="C29" s="251"/>
      <c r="D29" s="251"/>
      <c r="E29" s="99" t="s">
        <v>36</v>
      </c>
      <c r="F29" s="119" t="s">
        <v>186</v>
      </c>
      <c r="G29" s="79">
        <v>1.45</v>
      </c>
      <c r="H29" s="130">
        <f t="shared" si="0"/>
        <v>38019</v>
      </c>
      <c r="I29" s="131">
        <f>$I$12*0.1</f>
        <v>3999.96</v>
      </c>
      <c r="J29" s="142">
        <f t="shared" si="1"/>
        <v>42018.96</v>
      </c>
    </row>
    <row r="30" spans="1:10" ht="15.75">
      <c r="A30" s="23"/>
      <c r="B30" s="253"/>
      <c r="C30" s="254"/>
      <c r="D30" s="255"/>
      <c r="E30" s="98"/>
      <c r="F30" s="119"/>
      <c r="G30" s="79"/>
      <c r="H30" s="130"/>
      <c r="I30" s="131"/>
      <c r="J30" s="133"/>
    </row>
    <row r="31" spans="1:10" ht="13.5" customHeight="1">
      <c r="A31" s="23"/>
      <c r="B31" s="235"/>
      <c r="C31" s="236"/>
      <c r="D31" s="237"/>
      <c r="E31" s="99"/>
      <c r="F31" s="119"/>
      <c r="G31" s="79"/>
      <c r="H31" s="130"/>
      <c r="I31" s="131"/>
      <c r="J31" s="133"/>
    </row>
    <row r="32" spans="1:10" ht="15.75" customHeight="1" hidden="1">
      <c r="A32" s="23"/>
      <c r="B32" s="235"/>
      <c r="C32" s="236"/>
      <c r="D32" s="237"/>
      <c r="E32" s="99"/>
      <c r="F32" s="119"/>
      <c r="G32" s="79"/>
      <c r="H32" s="130"/>
      <c r="I32" s="131"/>
      <c r="J32" s="133"/>
    </row>
    <row r="33" spans="1:10" ht="15.75">
      <c r="A33" s="23"/>
      <c r="B33" s="215" t="s">
        <v>31</v>
      </c>
      <c r="C33" s="215"/>
      <c r="D33" s="215"/>
      <c r="E33" s="14"/>
      <c r="F33" s="119"/>
      <c r="G33" s="21">
        <f>SUM(G17:G29)</f>
        <v>13.039999999999997</v>
      </c>
      <c r="H33" s="134">
        <f>SUM(H17:H32)</f>
        <v>333647.4632</v>
      </c>
      <c r="I33" s="135">
        <f>SUM(I17:I32)</f>
        <v>29319.706799999996</v>
      </c>
      <c r="J33" s="134">
        <f>SUM(J17:J32)</f>
        <v>362967.17000000004</v>
      </c>
    </row>
    <row r="34" spans="1:10" ht="15.75">
      <c r="A34" s="23"/>
      <c r="B34" s="253" t="s">
        <v>193</v>
      </c>
      <c r="C34" s="254"/>
      <c r="D34" s="255"/>
      <c r="E34" s="99" t="s">
        <v>9</v>
      </c>
      <c r="F34" s="119"/>
      <c r="G34" s="21"/>
      <c r="H34" s="134"/>
      <c r="I34" s="135"/>
      <c r="J34" s="134"/>
    </row>
    <row r="35" spans="1:10" ht="25.5">
      <c r="A35" s="23"/>
      <c r="B35" s="253" t="s">
        <v>194</v>
      </c>
      <c r="C35" s="254"/>
      <c r="D35" s="255"/>
      <c r="E35" s="98" t="s">
        <v>36</v>
      </c>
      <c r="F35" s="119"/>
      <c r="G35" s="21"/>
      <c r="H35" s="134"/>
      <c r="I35" s="135"/>
      <c r="J35" s="134"/>
    </row>
    <row r="36" spans="1:10" ht="15.75">
      <c r="A36" s="23"/>
      <c r="B36" s="268"/>
      <c r="C36" s="269"/>
      <c r="D36" s="269"/>
      <c r="E36" s="270"/>
      <c r="F36" s="119"/>
      <c r="G36" s="21"/>
      <c r="H36" s="134"/>
      <c r="I36" s="135"/>
      <c r="J36" s="134"/>
    </row>
    <row r="37" spans="1:10" ht="15.75" customHeight="1">
      <c r="A37" s="23" t="s">
        <v>146</v>
      </c>
      <c r="B37" s="238" t="s">
        <v>160</v>
      </c>
      <c r="C37" s="239"/>
      <c r="D37" s="239"/>
      <c r="E37" s="240"/>
      <c r="F37" s="119" t="s">
        <v>186</v>
      </c>
      <c r="G37" s="24">
        <f>H37/E3/12</f>
        <v>2.013539282990084</v>
      </c>
      <c r="H37" s="135">
        <v>52795</v>
      </c>
      <c r="I37" s="132">
        <v>0</v>
      </c>
      <c r="J37" s="140">
        <f>SUM(H37:I37)</f>
        <v>52795</v>
      </c>
    </row>
    <row r="38" spans="1:10" ht="18.75">
      <c r="A38" s="25"/>
      <c r="B38" s="231" t="s">
        <v>70</v>
      </c>
      <c r="C38" s="231"/>
      <c r="D38" s="231"/>
      <c r="E38" s="231"/>
      <c r="F38" s="231"/>
      <c r="G38" s="5">
        <f>SUM(G33:G37)</f>
        <v>15.053539282990082</v>
      </c>
      <c r="H38" s="136">
        <f>SUM(H33:H37)</f>
        <v>386442.4632</v>
      </c>
      <c r="I38" s="137">
        <f>SUM(I33:I37)</f>
        <v>29319.706799999996</v>
      </c>
      <c r="J38" s="137">
        <f>SUM(J33:J37)</f>
        <v>415762.17000000004</v>
      </c>
    </row>
    <row r="39" spans="1:10" ht="15.75">
      <c r="A39" s="23" t="s">
        <v>147</v>
      </c>
      <c r="B39" s="230" t="s">
        <v>161</v>
      </c>
      <c r="C39" s="230"/>
      <c r="D39" s="230"/>
      <c r="E39" s="230"/>
      <c r="F39" s="230"/>
      <c r="G39" s="120"/>
      <c r="H39" s="138">
        <v>1269090</v>
      </c>
      <c r="I39" s="138">
        <v>0</v>
      </c>
      <c r="J39" s="122">
        <f>SUM(H39:I39)</f>
        <v>1269090</v>
      </c>
    </row>
    <row r="40" spans="1:10" ht="15.75" customHeight="1">
      <c r="A40" s="25"/>
      <c r="B40" s="231" t="s">
        <v>162</v>
      </c>
      <c r="C40" s="231"/>
      <c r="D40" s="231"/>
      <c r="E40" s="231"/>
      <c r="F40" s="231"/>
      <c r="G40" s="5">
        <f>SUM(G38:G39)</f>
        <v>15.053539282990082</v>
      </c>
      <c r="H40" s="136">
        <f>SUM(H38:H39)</f>
        <v>1655532.4632</v>
      </c>
      <c r="I40" s="137">
        <f>SUM(I38:I39)</f>
        <v>29319.706799999996</v>
      </c>
      <c r="J40" s="136">
        <f>SUM(J38:J39)</f>
        <v>1684852.17</v>
      </c>
    </row>
    <row r="41" spans="1:10" ht="15.75" customHeight="1">
      <c r="A41" s="23">
        <v>3</v>
      </c>
      <c r="B41" s="232" t="s">
        <v>214</v>
      </c>
      <c r="C41" s="233"/>
      <c r="D41" s="233"/>
      <c r="E41" s="233"/>
      <c r="F41" s="233"/>
      <c r="G41" s="234"/>
      <c r="H41" s="139">
        <f>H14-H40</f>
        <v>-87358.28320000018</v>
      </c>
      <c r="I41" s="130">
        <f>I14-I40</f>
        <v>10679.893200000002</v>
      </c>
      <c r="J41" s="140">
        <f>J14-J40</f>
        <v>-76678.3899999999</v>
      </c>
    </row>
    <row r="43" spans="1:5" ht="15.75">
      <c r="A43" s="34" t="s">
        <v>142</v>
      </c>
      <c r="E43" s="34" t="s">
        <v>217</v>
      </c>
    </row>
    <row r="45" spans="1:3" ht="15.75">
      <c r="A45" s="111" t="s">
        <v>213</v>
      </c>
      <c r="B45" s="111"/>
      <c r="C45" s="72"/>
    </row>
    <row r="46" spans="1:3" ht="15.75">
      <c r="A46" s="202" t="s">
        <v>88</v>
      </c>
      <c r="B46" s="202"/>
      <c r="C46" s="202"/>
    </row>
  </sheetData>
  <mergeCells count="38">
    <mergeCell ref="B39:F39"/>
    <mergeCell ref="B40:F40"/>
    <mergeCell ref="B41:G41"/>
    <mergeCell ref="A46:C46"/>
    <mergeCell ref="B32:D32"/>
    <mergeCell ref="B33:D33"/>
    <mergeCell ref="B37:E37"/>
    <mergeCell ref="B38:F38"/>
    <mergeCell ref="B36:E36"/>
    <mergeCell ref="B34:D34"/>
    <mergeCell ref="B35:D35"/>
    <mergeCell ref="B29:D29"/>
    <mergeCell ref="B30:D30"/>
    <mergeCell ref="B31:D31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6">
      <selection activeCell="H26" sqref="H2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75390625" style="0" customWidth="1"/>
    <col min="6" max="6" width="9.125" style="0" hidden="1" customWidth="1"/>
    <col min="7" max="7" width="11.25390625" style="0" bestFit="1" customWidth="1"/>
    <col min="8" max="8" width="13.75390625" style="0" customWidth="1"/>
    <col min="9" max="9" width="9.875" style="0" bestFit="1" customWidth="1"/>
  </cols>
  <sheetData>
    <row r="1" spans="1:8" ht="114.75" customHeight="1">
      <c r="A1" s="222" t="s">
        <v>218</v>
      </c>
      <c r="B1" s="222"/>
      <c r="C1" s="222"/>
      <c r="D1" s="222"/>
      <c r="E1" s="222"/>
      <c r="F1" s="222"/>
      <c r="G1" s="222"/>
      <c r="H1" s="222"/>
    </row>
    <row r="2" spans="1:6" ht="18.75">
      <c r="A2" s="1" t="s">
        <v>80</v>
      </c>
      <c r="B2" s="1" t="s">
        <v>81</v>
      </c>
      <c r="C2" s="2"/>
      <c r="D2" s="2" t="s">
        <v>0</v>
      </c>
      <c r="E2" s="4">
        <v>2185</v>
      </c>
      <c r="F2" s="2"/>
    </row>
    <row r="3" spans="2:6" ht="15.75">
      <c r="B3" s="3" t="s">
        <v>1</v>
      </c>
      <c r="C3" s="37">
        <v>9</v>
      </c>
      <c r="D3" s="2" t="s">
        <v>2</v>
      </c>
      <c r="E3" s="4">
        <v>48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4.5" customHeight="1">
      <c r="A6" s="73" t="s">
        <v>61</v>
      </c>
      <c r="B6" s="256" t="s">
        <v>150</v>
      </c>
      <c r="C6" s="257"/>
      <c r="D6" s="258"/>
      <c r="E6" s="74" t="s">
        <v>6</v>
      </c>
      <c r="F6" s="74" t="s">
        <v>7</v>
      </c>
      <c r="G6" s="105" t="s">
        <v>135</v>
      </c>
      <c r="H6" s="75" t="s">
        <v>136</v>
      </c>
    </row>
    <row r="7" spans="1:8" ht="15.75" customHeight="1">
      <c r="A7" s="76">
        <v>1</v>
      </c>
      <c r="B7" s="259" t="s">
        <v>137</v>
      </c>
      <c r="C7" s="259"/>
      <c r="D7" s="259"/>
      <c r="E7" s="259"/>
      <c r="F7" s="259"/>
      <c r="G7" s="77"/>
      <c r="H7" s="78"/>
    </row>
    <row r="8" spans="1:8" ht="15.75" customHeight="1">
      <c r="A8" s="76"/>
      <c r="B8" s="213" t="s">
        <v>181</v>
      </c>
      <c r="C8" s="213"/>
      <c r="D8" s="213"/>
      <c r="E8" s="213"/>
      <c r="F8" s="213"/>
      <c r="G8" s="24">
        <f>G27</f>
        <v>14.920000000000002</v>
      </c>
      <c r="H8" s="78">
        <f>ROUND($E$2*G8*12,0)</f>
        <v>391202</v>
      </c>
    </row>
    <row r="9" spans="1:8" ht="15.75" customHeight="1">
      <c r="A9" s="76"/>
      <c r="B9" s="262" t="s">
        <v>138</v>
      </c>
      <c r="C9" s="262"/>
      <c r="D9" s="262"/>
      <c r="E9" s="262"/>
      <c r="F9" s="262"/>
      <c r="G9" s="24">
        <v>0.78</v>
      </c>
      <c r="H9" s="78">
        <f>ROUND($E$2*G9*12,0)</f>
        <v>20452</v>
      </c>
    </row>
    <row r="10" spans="1:8" ht="15.75" customHeight="1">
      <c r="A10" s="76">
        <v>2</v>
      </c>
      <c r="B10" s="221" t="s">
        <v>66</v>
      </c>
      <c r="C10" s="221"/>
      <c r="D10" s="221"/>
      <c r="E10" s="221"/>
      <c r="F10" s="221"/>
      <c r="G10" s="83"/>
      <c r="H10" s="78"/>
    </row>
    <row r="11" spans="1:8" ht="18.75" customHeight="1">
      <c r="A11" s="76"/>
      <c r="B11" s="19" t="s">
        <v>67</v>
      </c>
      <c r="C11" s="19"/>
      <c r="D11" s="19"/>
      <c r="E11" s="19"/>
      <c r="F11" s="5"/>
      <c r="G11" s="113"/>
      <c r="H11" s="78"/>
    </row>
    <row r="12" spans="1:8" ht="30.75" customHeight="1">
      <c r="A12" s="81"/>
      <c r="B12" s="260" t="s">
        <v>139</v>
      </c>
      <c r="C12" s="260"/>
      <c r="D12" s="260"/>
      <c r="E12" s="98" t="s">
        <v>33</v>
      </c>
      <c r="F12" s="82" t="s">
        <v>25</v>
      </c>
      <c r="G12" s="83">
        <v>1.26</v>
      </c>
      <c r="H12" s="84">
        <f aca="true" t="shared" si="0" ref="H12:H27">ROUND($E$2*G12*12,0)</f>
        <v>33037</v>
      </c>
    </row>
    <row r="13" spans="1:9" ht="15.75" customHeight="1">
      <c r="A13" s="81"/>
      <c r="B13" s="260" t="s">
        <v>18</v>
      </c>
      <c r="C13" s="260"/>
      <c r="D13" s="260"/>
      <c r="E13" s="98" t="s">
        <v>33</v>
      </c>
      <c r="F13" s="82" t="s">
        <v>20</v>
      </c>
      <c r="G13" s="83">
        <v>0.29</v>
      </c>
      <c r="H13" s="84">
        <f t="shared" si="0"/>
        <v>7604</v>
      </c>
      <c r="I13" s="31"/>
    </row>
    <row r="14" spans="1:8" ht="18.75" customHeight="1">
      <c r="A14" s="81"/>
      <c r="B14" s="261" t="s">
        <v>24</v>
      </c>
      <c r="C14" s="261"/>
      <c r="D14" s="261"/>
      <c r="E14" s="99" t="s">
        <v>156</v>
      </c>
      <c r="F14" s="46" t="s">
        <v>21</v>
      </c>
      <c r="G14" s="83">
        <v>1.02</v>
      </c>
      <c r="H14" s="84">
        <f t="shared" si="0"/>
        <v>26744</v>
      </c>
    </row>
    <row r="15" spans="1:8" ht="15.75" customHeight="1">
      <c r="A15" s="81"/>
      <c r="B15" s="271" t="s">
        <v>32</v>
      </c>
      <c r="C15" s="271"/>
      <c r="D15" s="271"/>
      <c r="E15" s="100" t="s">
        <v>9</v>
      </c>
      <c r="F15" s="85" t="s">
        <v>10</v>
      </c>
      <c r="G15" s="83">
        <v>0.53</v>
      </c>
      <c r="H15" s="84">
        <f t="shared" si="0"/>
        <v>13897</v>
      </c>
    </row>
    <row r="16" spans="1:8" ht="31.5" customHeight="1">
      <c r="A16" s="81"/>
      <c r="B16" s="261" t="s">
        <v>28</v>
      </c>
      <c r="C16" s="261"/>
      <c r="D16" s="261"/>
      <c r="E16" s="99" t="s">
        <v>157</v>
      </c>
      <c r="F16" s="46" t="s">
        <v>26</v>
      </c>
      <c r="G16" s="83">
        <v>0.12</v>
      </c>
      <c r="H16" s="84">
        <f t="shared" si="0"/>
        <v>3146</v>
      </c>
    </row>
    <row r="17" spans="1:8" ht="15.75" customHeight="1">
      <c r="A17" s="81"/>
      <c r="B17" s="261" t="s">
        <v>11</v>
      </c>
      <c r="C17" s="261"/>
      <c r="D17" s="261"/>
      <c r="E17" s="99" t="s">
        <v>9</v>
      </c>
      <c r="F17" s="46" t="s">
        <v>12</v>
      </c>
      <c r="G17" s="83">
        <v>2.29</v>
      </c>
      <c r="H17" s="84">
        <f t="shared" si="0"/>
        <v>60044</v>
      </c>
    </row>
    <row r="18" spans="1:8" ht="15.75" customHeight="1">
      <c r="A18" s="81"/>
      <c r="B18" s="261" t="s">
        <v>27</v>
      </c>
      <c r="C18" s="267"/>
      <c r="D18" s="267"/>
      <c r="E18" s="101" t="s">
        <v>13</v>
      </c>
      <c r="F18" s="79" t="s">
        <v>140</v>
      </c>
      <c r="G18" s="83">
        <v>0.05</v>
      </c>
      <c r="H18" s="84">
        <f t="shared" si="0"/>
        <v>1311</v>
      </c>
    </row>
    <row r="19" spans="1:8" ht="33" customHeight="1">
      <c r="A19" s="81"/>
      <c r="B19" s="261" t="s">
        <v>72</v>
      </c>
      <c r="C19" s="261"/>
      <c r="D19" s="261"/>
      <c r="E19" s="98" t="s">
        <v>36</v>
      </c>
      <c r="F19" s="46" t="s">
        <v>186</v>
      </c>
      <c r="G19" s="83">
        <v>2.21</v>
      </c>
      <c r="H19" s="84">
        <f t="shared" si="0"/>
        <v>57946</v>
      </c>
    </row>
    <row r="20" spans="1:8" ht="51" customHeight="1">
      <c r="A20" s="81"/>
      <c r="B20" s="260" t="s">
        <v>15</v>
      </c>
      <c r="C20" s="260"/>
      <c r="D20" s="260"/>
      <c r="E20" s="98" t="s">
        <v>141</v>
      </c>
      <c r="F20" s="46" t="s">
        <v>186</v>
      </c>
      <c r="G20" s="83">
        <v>0.55</v>
      </c>
      <c r="H20" s="84">
        <f t="shared" si="0"/>
        <v>14421</v>
      </c>
    </row>
    <row r="21" spans="1:8" ht="31.5" customHeight="1">
      <c r="A21" s="81"/>
      <c r="B21" s="261" t="s">
        <v>37</v>
      </c>
      <c r="C21" s="267"/>
      <c r="D21" s="267"/>
      <c r="E21" s="98" t="s">
        <v>36</v>
      </c>
      <c r="F21" s="46" t="s">
        <v>186</v>
      </c>
      <c r="G21" s="83">
        <f>3.62-G22-G23</f>
        <v>3.3200000000000003</v>
      </c>
      <c r="H21" s="84">
        <f t="shared" si="0"/>
        <v>87050</v>
      </c>
    </row>
    <row r="22" spans="1:8" ht="36.75" customHeight="1">
      <c r="A22" s="81"/>
      <c r="B22" s="261" t="s">
        <v>182</v>
      </c>
      <c r="C22" s="261"/>
      <c r="D22" s="261"/>
      <c r="E22" s="99" t="s">
        <v>9</v>
      </c>
      <c r="F22" s="46" t="s">
        <v>186</v>
      </c>
      <c r="G22" s="83">
        <v>0.3</v>
      </c>
      <c r="H22" s="84">
        <f t="shared" si="0"/>
        <v>7866</v>
      </c>
    </row>
    <row r="23" spans="1:8" ht="36.75" customHeight="1">
      <c r="A23" s="81"/>
      <c r="B23" s="261" t="s">
        <v>159</v>
      </c>
      <c r="C23" s="261"/>
      <c r="D23" s="261"/>
      <c r="E23" s="99" t="s">
        <v>9</v>
      </c>
      <c r="F23" s="46" t="s">
        <v>186</v>
      </c>
      <c r="G23" s="83">
        <v>0</v>
      </c>
      <c r="H23" s="84">
        <f t="shared" si="0"/>
        <v>0</v>
      </c>
    </row>
    <row r="24" spans="1:8" ht="39" customHeight="1">
      <c r="A24" s="81"/>
      <c r="B24" s="267" t="s">
        <v>22</v>
      </c>
      <c r="C24" s="267"/>
      <c r="D24" s="267"/>
      <c r="E24" s="98" t="s">
        <v>36</v>
      </c>
      <c r="F24" s="46" t="s">
        <v>186</v>
      </c>
      <c r="G24" s="83">
        <v>1.49</v>
      </c>
      <c r="H24" s="84">
        <f t="shared" si="0"/>
        <v>39068</v>
      </c>
    </row>
    <row r="25" spans="1:8" ht="15.75">
      <c r="A25" s="81"/>
      <c r="B25" s="268" t="s">
        <v>31</v>
      </c>
      <c r="C25" s="269"/>
      <c r="D25" s="270"/>
      <c r="E25" s="14"/>
      <c r="F25" s="46"/>
      <c r="G25" s="21">
        <f>SUM(G12:G24)</f>
        <v>13.430000000000001</v>
      </c>
      <c r="H25" s="84">
        <f t="shared" si="0"/>
        <v>352135</v>
      </c>
    </row>
    <row r="26" spans="1:8" ht="31.5" customHeight="1">
      <c r="A26" s="76" t="s">
        <v>146</v>
      </c>
      <c r="B26" s="238" t="s">
        <v>219</v>
      </c>
      <c r="C26" s="239"/>
      <c r="D26" s="239"/>
      <c r="E26" s="240"/>
      <c r="F26" s="27" t="s">
        <v>187</v>
      </c>
      <c r="G26" s="24">
        <v>1.49</v>
      </c>
      <c r="H26" s="84">
        <v>31675</v>
      </c>
    </row>
    <row r="27" spans="1:8" ht="15.75" customHeight="1">
      <c r="A27" s="76"/>
      <c r="B27" s="263" t="s">
        <v>184</v>
      </c>
      <c r="C27" s="263"/>
      <c r="D27" s="263"/>
      <c r="E27" s="263"/>
      <c r="F27" s="263"/>
      <c r="G27" s="21">
        <f>SUM(G25:G26)</f>
        <v>14.920000000000002</v>
      </c>
      <c r="H27" s="106">
        <f t="shared" si="0"/>
        <v>391202</v>
      </c>
    </row>
    <row r="28" spans="1:8" ht="16.5" customHeight="1" thickBot="1">
      <c r="A28" s="107">
        <v>3</v>
      </c>
      <c r="B28" s="264" t="s">
        <v>220</v>
      </c>
      <c r="C28" s="265"/>
      <c r="D28" s="266"/>
      <c r="E28" s="108"/>
      <c r="F28" s="109" t="s">
        <v>187</v>
      </c>
      <c r="G28" s="114">
        <v>0.78</v>
      </c>
      <c r="H28" s="110">
        <f>ROUND($E$2*G28*12,0)</f>
        <v>20452</v>
      </c>
    </row>
    <row r="29" spans="1:8" ht="48" customHeight="1">
      <c r="A29" s="144"/>
      <c r="B29" s="272" t="s">
        <v>221</v>
      </c>
      <c r="C29" s="272"/>
      <c r="D29" s="272"/>
      <c r="E29" s="272"/>
      <c r="F29" s="145"/>
      <c r="G29" s="146"/>
      <c r="H29" s="147"/>
    </row>
    <row r="30" spans="1:8" ht="15.75">
      <c r="A30" s="148" t="s">
        <v>222</v>
      </c>
      <c r="B30" s="148"/>
      <c r="C30" s="148"/>
      <c r="D30" s="148"/>
      <c r="E30" s="148"/>
      <c r="F30" s="148"/>
      <c r="G30" s="148"/>
      <c r="H30" s="148"/>
    </row>
    <row r="31" spans="1:8" ht="15.75">
      <c r="A31" s="224" t="s">
        <v>223</v>
      </c>
      <c r="B31" s="224"/>
      <c r="C31" s="224"/>
      <c r="D31" s="224"/>
      <c r="E31" s="224"/>
      <c r="F31" s="224"/>
      <c r="G31" s="224"/>
      <c r="H31" s="224"/>
    </row>
    <row r="32" spans="7:8" ht="15.75" customHeight="1">
      <c r="G32" s="91"/>
      <c r="H32" s="92"/>
    </row>
    <row r="33" spans="7:8" ht="15.75" customHeight="1">
      <c r="G33" s="91"/>
      <c r="H33" s="92"/>
    </row>
    <row r="34" spans="7:8" ht="15.75" customHeight="1">
      <c r="G34" s="91"/>
      <c r="H34" s="92"/>
    </row>
    <row r="35" spans="2:6" ht="28.5" customHeight="1">
      <c r="B35" s="34"/>
      <c r="F35" s="34"/>
    </row>
  </sheetData>
  <mergeCells count="25">
    <mergeCell ref="B26:E26"/>
    <mergeCell ref="B27:F27"/>
    <mergeCell ref="B28:D28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29:E29"/>
    <mergeCell ref="A31:H31"/>
    <mergeCell ref="A1:H1"/>
    <mergeCell ref="B6:D6"/>
    <mergeCell ref="B7:F7"/>
    <mergeCell ref="B8:F8"/>
    <mergeCell ref="B9:F9"/>
    <mergeCell ref="B10:F10"/>
    <mergeCell ref="B12:D12"/>
    <mergeCell ref="B13:D1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24">
      <selection activeCell="G18" sqref="G18:G30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75390625" style="0" customWidth="1"/>
    <col min="6" max="6" width="9.125" style="0" hidden="1" customWidth="1"/>
    <col min="7" max="7" width="15.75390625" style="0" customWidth="1"/>
    <col min="8" max="8" width="14.625" style="0" customWidth="1"/>
    <col min="9" max="9" width="9.875" style="0" bestFit="1" customWidth="1"/>
  </cols>
  <sheetData>
    <row r="1" spans="4:8" ht="94.5" customHeight="1">
      <c r="D1" s="273" t="s">
        <v>224</v>
      </c>
      <c r="E1" s="273"/>
      <c r="F1" s="273"/>
      <c r="G1" s="273"/>
      <c r="H1" s="273"/>
    </row>
    <row r="4" spans="1:8" ht="19.5" customHeight="1">
      <c r="A4" s="222" t="s">
        <v>225</v>
      </c>
      <c r="B4" s="222"/>
      <c r="C4" s="222"/>
      <c r="D4" s="222"/>
      <c r="E4" s="222"/>
      <c r="F4" s="222"/>
      <c r="G4" s="222"/>
      <c r="H4" s="222"/>
    </row>
    <row r="5" spans="1:6" ht="19.5">
      <c r="A5" s="143"/>
      <c r="B5" s="143"/>
      <c r="C5" s="143"/>
      <c r="D5" s="143"/>
      <c r="E5" s="143"/>
      <c r="F5" s="143"/>
    </row>
    <row r="6" spans="1:6" ht="19.5">
      <c r="A6" s="143"/>
      <c r="B6" s="276" t="s">
        <v>235</v>
      </c>
      <c r="C6" s="276"/>
      <c r="D6" s="276"/>
      <c r="E6" s="276"/>
      <c r="F6" s="143"/>
    </row>
    <row r="7" spans="1:6" ht="18.75">
      <c r="A7" s="1" t="s">
        <v>80</v>
      </c>
      <c r="B7" s="1" t="s">
        <v>81</v>
      </c>
      <c r="C7" s="2"/>
      <c r="D7" s="2" t="s">
        <v>0</v>
      </c>
      <c r="E7" s="4">
        <v>2976.5</v>
      </c>
      <c r="F7" s="2"/>
    </row>
    <row r="8" spans="2:6" ht="15.75">
      <c r="B8" s="3" t="s">
        <v>1</v>
      </c>
      <c r="C8" s="37">
        <v>9</v>
      </c>
      <c r="D8" s="2" t="s">
        <v>2</v>
      </c>
      <c r="E8" s="4" t="s">
        <v>226</v>
      </c>
      <c r="F8" s="2"/>
    </row>
    <row r="9" spans="2:7" ht="15.75">
      <c r="B9" s="3" t="s">
        <v>3</v>
      </c>
      <c r="C9" s="4">
        <v>1</v>
      </c>
      <c r="D9" s="2" t="s">
        <v>4</v>
      </c>
      <c r="E9" s="2" t="s">
        <v>17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96.75" customHeight="1">
      <c r="A11" s="73" t="s">
        <v>61</v>
      </c>
      <c r="B11" s="256" t="s">
        <v>150</v>
      </c>
      <c r="C11" s="257"/>
      <c r="D11" s="258"/>
      <c r="E11" s="74" t="s">
        <v>6</v>
      </c>
      <c r="F11" s="74" t="s">
        <v>7</v>
      </c>
      <c r="G11" s="150" t="s">
        <v>227</v>
      </c>
      <c r="H11" s="151" t="s">
        <v>228</v>
      </c>
    </row>
    <row r="12" spans="1:8" ht="25.5" customHeight="1">
      <c r="A12" s="152">
        <v>1</v>
      </c>
      <c r="B12" s="245">
        <v>2</v>
      </c>
      <c r="C12" s="246"/>
      <c r="D12" s="274"/>
      <c r="E12" s="153">
        <v>3</v>
      </c>
      <c r="F12" s="149"/>
      <c r="G12" s="154">
        <v>4</v>
      </c>
      <c r="H12" s="155" t="s">
        <v>229</v>
      </c>
    </row>
    <row r="13" spans="1:8" ht="15.75" customHeight="1" hidden="1">
      <c r="A13" s="76">
        <v>1</v>
      </c>
      <c r="B13" s="259" t="s">
        <v>137</v>
      </c>
      <c r="C13" s="259"/>
      <c r="D13" s="259"/>
      <c r="E13" s="259"/>
      <c r="F13" s="259"/>
      <c r="G13" s="77"/>
      <c r="H13" s="78"/>
    </row>
    <row r="14" spans="1:8" ht="15.75" customHeight="1" hidden="1">
      <c r="A14" s="76"/>
      <c r="B14" s="213" t="s">
        <v>181</v>
      </c>
      <c r="C14" s="213"/>
      <c r="D14" s="213"/>
      <c r="E14" s="213"/>
      <c r="F14" s="213"/>
      <c r="G14" s="24">
        <f>G33</f>
        <v>15.36</v>
      </c>
      <c r="H14" s="78">
        <f>ROUND($E$7*G14*12,0)</f>
        <v>548628</v>
      </c>
    </row>
    <row r="15" spans="1:8" ht="15.75" customHeight="1" hidden="1">
      <c r="A15" s="76"/>
      <c r="B15" s="262" t="s">
        <v>138</v>
      </c>
      <c r="C15" s="262"/>
      <c r="D15" s="262"/>
      <c r="E15" s="262"/>
      <c r="F15" s="262"/>
      <c r="G15" s="24">
        <v>0.78</v>
      </c>
      <c r="H15" s="78">
        <f>ROUND($E$7*G15*12,0)</f>
        <v>27860</v>
      </c>
    </row>
    <row r="16" spans="1:8" ht="15.75" customHeight="1">
      <c r="A16" s="76">
        <v>1</v>
      </c>
      <c r="B16" s="221" t="s">
        <v>66</v>
      </c>
      <c r="C16" s="221"/>
      <c r="D16" s="221"/>
      <c r="E16" s="221"/>
      <c r="F16" s="221"/>
      <c r="G16" s="83"/>
      <c r="H16" s="78"/>
    </row>
    <row r="17" spans="1:8" ht="18.75" customHeight="1">
      <c r="A17" s="76">
        <v>1.1</v>
      </c>
      <c r="B17" s="19" t="s">
        <v>67</v>
      </c>
      <c r="C17" s="19"/>
      <c r="D17" s="19"/>
      <c r="E17" s="19"/>
      <c r="F17" s="5"/>
      <c r="G17" s="113"/>
      <c r="H17" s="78"/>
    </row>
    <row r="18" spans="1:8" ht="30" customHeight="1">
      <c r="A18" s="81"/>
      <c r="B18" s="260" t="s">
        <v>139</v>
      </c>
      <c r="C18" s="260"/>
      <c r="D18" s="260"/>
      <c r="E18" s="98" t="s">
        <v>33</v>
      </c>
      <c r="F18" s="82" t="s">
        <v>25</v>
      </c>
      <c r="G18" s="83">
        <v>1.29</v>
      </c>
      <c r="H18" s="84">
        <f>ROUND($E$7*G18*6,0)</f>
        <v>23038</v>
      </c>
    </row>
    <row r="19" spans="1:9" ht="30.75" customHeight="1">
      <c r="A19" s="81"/>
      <c r="B19" s="260" t="s">
        <v>18</v>
      </c>
      <c r="C19" s="260"/>
      <c r="D19" s="260"/>
      <c r="E19" s="98" t="s">
        <v>33</v>
      </c>
      <c r="F19" s="82" t="s">
        <v>20</v>
      </c>
      <c r="G19" s="83">
        <v>0.3</v>
      </c>
      <c r="H19" s="84">
        <f aca="true" t="shared" si="0" ref="H19:H35">ROUND($E$7*G19*6,0)</f>
        <v>5358</v>
      </c>
      <c r="I19" s="31"/>
    </row>
    <row r="20" spans="1:8" ht="30.75" customHeight="1">
      <c r="A20" s="81"/>
      <c r="B20" s="261" t="s">
        <v>24</v>
      </c>
      <c r="C20" s="261"/>
      <c r="D20" s="261"/>
      <c r="E20" s="99" t="s">
        <v>156</v>
      </c>
      <c r="F20" s="46" t="s">
        <v>21</v>
      </c>
      <c r="G20" s="83">
        <v>1.05</v>
      </c>
      <c r="H20" s="84">
        <f t="shared" si="0"/>
        <v>18752</v>
      </c>
    </row>
    <row r="21" spans="1:8" ht="30.75" customHeight="1">
      <c r="A21" s="81"/>
      <c r="B21" s="271" t="s">
        <v>32</v>
      </c>
      <c r="C21" s="271"/>
      <c r="D21" s="271"/>
      <c r="E21" s="100" t="s">
        <v>9</v>
      </c>
      <c r="F21" s="85" t="s">
        <v>10</v>
      </c>
      <c r="G21" s="83">
        <v>0.54</v>
      </c>
      <c r="H21" s="84">
        <f t="shared" si="0"/>
        <v>9644</v>
      </c>
    </row>
    <row r="22" spans="1:8" ht="57.75" customHeight="1">
      <c r="A22" s="81"/>
      <c r="B22" s="261" t="s">
        <v>28</v>
      </c>
      <c r="C22" s="261"/>
      <c r="D22" s="261"/>
      <c r="E22" s="99" t="s">
        <v>157</v>
      </c>
      <c r="F22" s="46" t="s">
        <v>26</v>
      </c>
      <c r="G22" s="83">
        <v>0.13</v>
      </c>
      <c r="H22" s="84">
        <f t="shared" si="0"/>
        <v>2322</v>
      </c>
    </row>
    <row r="23" spans="1:8" ht="15.75" customHeight="1">
      <c r="A23" s="81"/>
      <c r="B23" s="261" t="s">
        <v>11</v>
      </c>
      <c r="C23" s="261"/>
      <c r="D23" s="261"/>
      <c r="E23" s="99" t="s">
        <v>9</v>
      </c>
      <c r="F23" s="46" t="s">
        <v>12</v>
      </c>
      <c r="G23" s="83">
        <v>2.35</v>
      </c>
      <c r="H23" s="84">
        <f t="shared" si="0"/>
        <v>41969</v>
      </c>
    </row>
    <row r="24" spans="1:8" ht="15.75" customHeight="1">
      <c r="A24" s="81"/>
      <c r="B24" s="261" t="s">
        <v>27</v>
      </c>
      <c r="C24" s="267"/>
      <c r="D24" s="267"/>
      <c r="E24" s="101" t="s">
        <v>13</v>
      </c>
      <c r="F24" s="79" t="s">
        <v>140</v>
      </c>
      <c r="G24" s="83">
        <v>0.05</v>
      </c>
      <c r="H24" s="84">
        <f t="shared" si="0"/>
        <v>893</v>
      </c>
    </row>
    <row r="25" spans="1:8" ht="33" customHeight="1">
      <c r="A25" s="81"/>
      <c r="B25" s="261" t="s">
        <v>72</v>
      </c>
      <c r="C25" s="261"/>
      <c r="D25" s="261"/>
      <c r="E25" s="98" t="s">
        <v>36</v>
      </c>
      <c r="F25" s="46" t="s">
        <v>186</v>
      </c>
      <c r="G25" s="83">
        <v>2.28</v>
      </c>
      <c r="H25" s="84">
        <f t="shared" si="0"/>
        <v>40719</v>
      </c>
    </row>
    <row r="26" spans="1:8" ht="51" customHeight="1">
      <c r="A26" s="81"/>
      <c r="B26" s="260" t="s">
        <v>15</v>
      </c>
      <c r="C26" s="260"/>
      <c r="D26" s="260"/>
      <c r="E26" s="98" t="s">
        <v>141</v>
      </c>
      <c r="F26" s="46" t="s">
        <v>186</v>
      </c>
      <c r="G26" s="83">
        <v>0.56</v>
      </c>
      <c r="H26" s="84">
        <f t="shared" si="0"/>
        <v>10001</v>
      </c>
    </row>
    <row r="27" spans="1:8" ht="31.5" customHeight="1">
      <c r="A27" s="81"/>
      <c r="B27" s="261" t="s">
        <v>37</v>
      </c>
      <c r="C27" s="267"/>
      <c r="D27" s="267"/>
      <c r="E27" s="98" t="s">
        <v>36</v>
      </c>
      <c r="F27" s="46" t="s">
        <v>186</v>
      </c>
      <c r="G27" s="83">
        <f>3.73-G28-G29</f>
        <v>3.42</v>
      </c>
      <c r="H27" s="84">
        <f t="shared" si="0"/>
        <v>61078</v>
      </c>
    </row>
    <row r="28" spans="1:8" ht="36.75" customHeight="1">
      <c r="A28" s="81"/>
      <c r="B28" s="261" t="s">
        <v>182</v>
      </c>
      <c r="C28" s="261"/>
      <c r="D28" s="261"/>
      <c r="E28" s="99" t="s">
        <v>9</v>
      </c>
      <c r="F28" s="46" t="s">
        <v>186</v>
      </c>
      <c r="G28" s="83">
        <v>0.31</v>
      </c>
      <c r="H28" s="84">
        <f t="shared" si="0"/>
        <v>5536</v>
      </c>
    </row>
    <row r="29" spans="1:8" ht="36.75" customHeight="1">
      <c r="A29" s="81"/>
      <c r="B29" s="261" t="s">
        <v>159</v>
      </c>
      <c r="C29" s="261"/>
      <c r="D29" s="261"/>
      <c r="E29" s="99" t="s">
        <v>9</v>
      </c>
      <c r="F29" s="46" t="s">
        <v>186</v>
      </c>
      <c r="G29" s="83">
        <v>0</v>
      </c>
      <c r="H29" s="84">
        <f t="shared" si="0"/>
        <v>0</v>
      </c>
    </row>
    <row r="30" spans="1:8" ht="39" customHeight="1">
      <c r="A30" s="81"/>
      <c r="B30" s="267" t="s">
        <v>22</v>
      </c>
      <c r="C30" s="267"/>
      <c r="D30" s="267"/>
      <c r="E30" s="98" t="s">
        <v>36</v>
      </c>
      <c r="F30" s="46" t="s">
        <v>186</v>
      </c>
      <c r="G30" s="83">
        <v>1.54</v>
      </c>
      <c r="H30" s="84">
        <f t="shared" si="0"/>
        <v>27503</v>
      </c>
    </row>
    <row r="31" spans="1:8" ht="15.75">
      <c r="A31" s="81"/>
      <c r="B31" s="268" t="s">
        <v>31</v>
      </c>
      <c r="C31" s="269"/>
      <c r="D31" s="270"/>
      <c r="E31" s="14"/>
      <c r="F31" s="46"/>
      <c r="G31" s="21">
        <f>SUM(G18:G30)</f>
        <v>13.82</v>
      </c>
      <c r="H31" s="84">
        <f t="shared" si="0"/>
        <v>246811</v>
      </c>
    </row>
    <row r="32" spans="1:8" ht="31.5" customHeight="1">
      <c r="A32" s="76">
        <v>1.2</v>
      </c>
      <c r="B32" s="238" t="s">
        <v>219</v>
      </c>
      <c r="C32" s="239"/>
      <c r="D32" s="239"/>
      <c r="E32" s="156" t="s">
        <v>234</v>
      </c>
      <c r="F32" s="27" t="s">
        <v>187</v>
      </c>
      <c r="G32" s="24">
        <v>1.54</v>
      </c>
      <c r="H32" s="84">
        <f t="shared" si="0"/>
        <v>27503</v>
      </c>
    </row>
    <row r="33" spans="1:8" ht="15.75" customHeight="1">
      <c r="A33" s="76">
        <v>1.3</v>
      </c>
      <c r="B33" s="263" t="s">
        <v>184</v>
      </c>
      <c r="C33" s="263"/>
      <c r="D33" s="263"/>
      <c r="E33" s="263"/>
      <c r="F33" s="263"/>
      <c r="G33" s="21">
        <f>SUM(G31:G32)</f>
        <v>15.36</v>
      </c>
      <c r="H33" s="84">
        <f t="shared" si="0"/>
        <v>274314</v>
      </c>
    </row>
    <row r="34" spans="1:8" ht="16.5" customHeight="1" thickBot="1">
      <c r="A34" s="107">
        <v>2</v>
      </c>
      <c r="B34" s="264" t="s">
        <v>220</v>
      </c>
      <c r="C34" s="265"/>
      <c r="D34" s="266"/>
      <c r="E34" s="158" t="s">
        <v>234</v>
      </c>
      <c r="F34" s="109" t="s">
        <v>187</v>
      </c>
      <c r="G34" s="159">
        <v>0.8</v>
      </c>
      <c r="H34" s="160">
        <f t="shared" si="0"/>
        <v>14287</v>
      </c>
    </row>
    <row r="35" spans="1:8" ht="48" customHeight="1" hidden="1">
      <c r="A35" s="144"/>
      <c r="B35" s="277" t="s">
        <v>221</v>
      </c>
      <c r="C35" s="277"/>
      <c r="D35" s="277"/>
      <c r="E35" s="277"/>
      <c r="F35" s="145"/>
      <c r="G35" s="146"/>
      <c r="H35" s="157">
        <f t="shared" si="0"/>
        <v>0</v>
      </c>
    </row>
    <row r="36" spans="1:8" ht="15.75">
      <c r="A36" s="148" t="s">
        <v>222</v>
      </c>
      <c r="B36" s="148"/>
      <c r="C36" s="148"/>
      <c r="D36" s="148"/>
      <c r="E36" s="148"/>
      <c r="F36" s="148"/>
      <c r="G36" s="148"/>
      <c r="H36" s="148"/>
    </row>
    <row r="37" spans="1:8" ht="15.75" customHeight="1">
      <c r="A37" s="275" t="s">
        <v>230</v>
      </c>
      <c r="B37" s="275"/>
      <c r="C37" s="275"/>
      <c r="D37" s="275"/>
      <c r="E37" s="34" t="s">
        <v>231</v>
      </c>
      <c r="F37" s="34"/>
      <c r="G37" s="34"/>
      <c r="H37" s="34"/>
    </row>
    <row r="38" ht="15.75" customHeight="1"/>
    <row r="39" spans="1:5" ht="15.75" customHeight="1">
      <c r="A39" s="275" t="s">
        <v>232</v>
      </c>
      <c r="B39" s="275"/>
      <c r="C39" s="275"/>
      <c r="D39" s="275"/>
      <c r="E39" t="s">
        <v>233</v>
      </c>
    </row>
    <row r="40" spans="2:6" ht="28.5" customHeight="1">
      <c r="B40" s="34"/>
      <c r="F40" s="34"/>
    </row>
  </sheetData>
  <mergeCells count="29">
    <mergeCell ref="A37:D37"/>
    <mergeCell ref="A39:D39"/>
    <mergeCell ref="B32:D32"/>
    <mergeCell ref="B6:E6"/>
    <mergeCell ref="B34:D34"/>
    <mergeCell ref="B35:E35"/>
    <mergeCell ref="B26:D26"/>
    <mergeCell ref="B27:D27"/>
    <mergeCell ref="B20:D20"/>
    <mergeCell ref="B21:D21"/>
    <mergeCell ref="D1:H1"/>
    <mergeCell ref="A4:H4"/>
    <mergeCell ref="B12:D12"/>
    <mergeCell ref="B33:F33"/>
    <mergeCell ref="B28:D28"/>
    <mergeCell ref="B29:D29"/>
    <mergeCell ref="B30:D30"/>
    <mergeCell ref="B31:D31"/>
    <mergeCell ref="B24:D24"/>
    <mergeCell ref="B25:D25"/>
    <mergeCell ref="B23:D23"/>
    <mergeCell ref="B15:F15"/>
    <mergeCell ref="B16:F16"/>
    <mergeCell ref="B18:D18"/>
    <mergeCell ref="B19:D19"/>
    <mergeCell ref="B11:D11"/>
    <mergeCell ref="B13:F13"/>
    <mergeCell ref="B14:F14"/>
    <mergeCell ref="B22:D2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22">
      <selection activeCell="A7" sqref="A7:IV93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3.75390625" style="0" customWidth="1"/>
    <col min="4" max="4" width="23.875" style="0" customWidth="1"/>
    <col min="5" max="5" width="16.625" style="0" customWidth="1"/>
    <col min="6" max="6" width="0.12890625" style="91" hidden="1" customWidth="1"/>
    <col min="7" max="7" width="10.00390625" style="0" hidden="1" customWidth="1"/>
    <col min="8" max="8" width="12.875" style="0" hidden="1" customWidth="1"/>
    <col min="9" max="9" width="11.875" style="0" hidden="1" customWidth="1"/>
    <col min="10" max="10" width="14.375" style="0" hidden="1" customWidth="1"/>
    <col min="11" max="11" width="18.625" style="0" customWidth="1"/>
    <col min="12" max="13" width="0" style="0" hidden="1" customWidth="1"/>
  </cols>
  <sheetData>
    <row r="1" spans="1:11" ht="102" customHeight="1">
      <c r="A1" s="203" t="s">
        <v>236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63" customHeight="1">
      <c r="A2" s="223" t="s">
        <v>237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8" ht="31.5">
      <c r="A3" s="1" t="s">
        <v>80</v>
      </c>
      <c r="B3" s="1" t="s">
        <v>81</v>
      </c>
      <c r="C3" s="2"/>
      <c r="D3" s="162" t="s">
        <v>238</v>
      </c>
      <c r="E3" s="4">
        <v>2976.5</v>
      </c>
      <c r="G3" s="93"/>
      <c r="H3" s="93"/>
    </row>
    <row r="4" spans="2:5" ht="15.75">
      <c r="B4" s="3" t="s">
        <v>1</v>
      </c>
      <c r="C4" s="37">
        <v>9</v>
      </c>
      <c r="D4" s="2" t="s">
        <v>2</v>
      </c>
      <c r="E4" s="4" t="s">
        <v>226</v>
      </c>
    </row>
    <row r="5" spans="2:8" ht="15.75">
      <c r="B5" s="3" t="s">
        <v>3</v>
      </c>
      <c r="C5" s="4">
        <v>1</v>
      </c>
      <c r="D5" s="2" t="s">
        <v>4</v>
      </c>
      <c r="E5" s="2" t="s">
        <v>17</v>
      </c>
      <c r="F5" s="95"/>
      <c r="G5" s="2"/>
      <c r="H5" s="2"/>
    </row>
    <row r="6" spans="2:6" ht="15.75">
      <c r="B6" s="3"/>
      <c r="C6" s="4"/>
      <c r="D6" s="2" t="s">
        <v>5</v>
      </c>
      <c r="E6" s="2" t="s">
        <v>16</v>
      </c>
      <c r="F6" s="95"/>
    </row>
    <row r="7" spans="1:13" ht="39" customHeight="1">
      <c r="A7" s="22" t="s">
        <v>61</v>
      </c>
      <c r="B7" s="245" t="s">
        <v>150</v>
      </c>
      <c r="C7" s="246"/>
      <c r="D7" s="247"/>
      <c r="E7" s="11" t="s">
        <v>6</v>
      </c>
      <c r="F7" s="11" t="s">
        <v>7</v>
      </c>
      <c r="G7" s="33" t="s">
        <v>239</v>
      </c>
      <c r="H7" s="163" t="s">
        <v>240</v>
      </c>
      <c r="I7" s="241" t="s">
        <v>241</v>
      </c>
      <c r="J7" s="242"/>
      <c r="K7" s="243"/>
      <c r="L7" s="53">
        <v>12</v>
      </c>
      <c r="M7" s="164" t="s">
        <v>242</v>
      </c>
    </row>
    <row r="8" spans="1:11" ht="15.75">
      <c r="A8" s="23">
        <v>1</v>
      </c>
      <c r="B8" s="227"/>
      <c r="C8" s="228"/>
      <c r="D8" s="228"/>
      <c r="E8" s="228"/>
      <c r="F8" s="229"/>
      <c r="G8" s="165"/>
      <c r="H8" s="165"/>
      <c r="I8" s="166" t="s">
        <v>189</v>
      </c>
      <c r="J8" s="117" t="s">
        <v>190</v>
      </c>
      <c r="K8" s="117" t="s">
        <v>191</v>
      </c>
    </row>
    <row r="9" spans="1:11" ht="15.75">
      <c r="A9" s="23"/>
      <c r="B9" s="227" t="s">
        <v>151</v>
      </c>
      <c r="C9" s="228"/>
      <c r="D9" s="228"/>
      <c r="E9" s="228"/>
      <c r="F9" s="229"/>
      <c r="G9" s="54"/>
      <c r="H9" s="54"/>
      <c r="I9" s="54"/>
      <c r="J9" s="54"/>
      <c r="K9" s="117"/>
    </row>
    <row r="10" spans="1:11" ht="15.75" customHeight="1">
      <c r="A10" s="96"/>
      <c r="B10" s="244" t="s">
        <v>152</v>
      </c>
      <c r="C10" s="244"/>
      <c r="D10" s="244"/>
      <c r="E10" s="244"/>
      <c r="F10" s="244"/>
      <c r="G10" s="15"/>
      <c r="H10" s="15"/>
      <c r="I10" s="97">
        <v>351500.77</v>
      </c>
      <c r="J10" s="77"/>
      <c r="K10" s="104">
        <f>I10+J10</f>
        <v>351500.77</v>
      </c>
    </row>
    <row r="11" spans="1:11" ht="15.75" customHeight="1">
      <c r="A11" s="96"/>
      <c r="B11" s="244" t="s">
        <v>153</v>
      </c>
      <c r="C11" s="244"/>
      <c r="D11" s="244"/>
      <c r="E11" s="244"/>
      <c r="F11" s="244"/>
      <c r="G11" s="15"/>
      <c r="H11" s="15"/>
      <c r="I11" s="16">
        <v>17893.25</v>
      </c>
      <c r="J11" s="77"/>
      <c r="K11" s="104">
        <f>I11+J11</f>
        <v>17893.25</v>
      </c>
    </row>
    <row r="12" spans="1:11" ht="15.75" customHeight="1">
      <c r="A12" s="23"/>
      <c r="B12" s="244" t="s">
        <v>154</v>
      </c>
      <c r="C12" s="244"/>
      <c r="D12" s="244"/>
      <c r="E12" s="244"/>
      <c r="F12" s="244"/>
      <c r="G12" s="15"/>
      <c r="H12" s="15"/>
      <c r="I12" s="97"/>
      <c r="J12" s="77">
        <v>26666.4</v>
      </c>
      <c r="K12" s="104">
        <f>I12+J12</f>
        <v>26666.4</v>
      </c>
    </row>
    <row r="13" spans="1:11" ht="15.75">
      <c r="A13" s="23"/>
      <c r="B13" s="244" t="s">
        <v>243</v>
      </c>
      <c r="C13" s="244"/>
      <c r="D13" s="244"/>
      <c r="E13" s="244"/>
      <c r="F13" s="244"/>
      <c r="G13" s="15"/>
      <c r="H13" s="15"/>
      <c r="I13" s="97">
        <v>0</v>
      </c>
      <c r="J13" s="118">
        <v>0</v>
      </c>
      <c r="K13" s="104">
        <f>I13+J13</f>
        <v>0</v>
      </c>
    </row>
    <row r="14" spans="1:11" ht="15.75" customHeight="1">
      <c r="A14" s="23"/>
      <c r="B14" s="213" t="s">
        <v>155</v>
      </c>
      <c r="C14" s="213"/>
      <c r="D14" s="213"/>
      <c r="E14" s="213"/>
      <c r="F14" s="213"/>
      <c r="G14" s="15"/>
      <c r="H14" s="15"/>
      <c r="I14" s="167">
        <f>SUM(I10:I12)</f>
        <v>369394.02</v>
      </c>
      <c r="J14" s="168">
        <f>SUM(J10:J12)</f>
        <v>26666.4</v>
      </c>
      <c r="K14" s="167">
        <f>SUM(K10:K13)</f>
        <v>396060.42000000004</v>
      </c>
    </row>
    <row r="15" spans="1:11" ht="18.75" customHeight="1">
      <c r="A15" s="23">
        <v>2</v>
      </c>
      <c r="B15" s="278" t="s">
        <v>66</v>
      </c>
      <c r="C15" s="278"/>
      <c r="D15" s="278"/>
      <c r="E15" s="278"/>
      <c r="F15" s="278"/>
      <c r="G15" s="15"/>
      <c r="H15" s="15"/>
      <c r="I15" s="97"/>
      <c r="J15" s="77"/>
      <c r="K15" s="35"/>
    </row>
    <row r="16" spans="1:11" ht="15.75">
      <c r="A16" s="23" t="s">
        <v>145</v>
      </c>
      <c r="B16" s="169" t="s">
        <v>67</v>
      </c>
      <c r="C16" s="169"/>
      <c r="D16" s="169"/>
      <c r="E16" s="169"/>
      <c r="F16" s="120"/>
      <c r="G16" s="166"/>
      <c r="H16" s="166"/>
      <c r="I16" s="166"/>
      <c r="J16" s="161"/>
      <c r="K16" s="117"/>
    </row>
    <row r="17" spans="1:11" ht="33.75" customHeight="1">
      <c r="A17" s="26"/>
      <c r="B17" s="248" t="s">
        <v>244</v>
      </c>
      <c r="C17" s="248"/>
      <c r="D17" s="248"/>
      <c r="E17" s="170" t="s">
        <v>33</v>
      </c>
      <c r="F17" s="82" t="s">
        <v>25</v>
      </c>
      <c r="G17" s="83">
        <v>1.22</v>
      </c>
      <c r="H17" s="83">
        <v>1.29</v>
      </c>
      <c r="I17" s="171">
        <f>ROUND($E$3*G17*6,2)+ROUND($E$3*H17*($L$7-6),2)</f>
        <v>44826.09</v>
      </c>
      <c r="J17" s="172"/>
      <c r="K17" s="173">
        <f>SUM(I17:J17)</f>
        <v>44826.09</v>
      </c>
    </row>
    <row r="18" spans="1:11" ht="17.25" customHeight="1">
      <c r="A18" s="23"/>
      <c r="B18" s="250" t="s">
        <v>18</v>
      </c>
      <c r="C18" s="250"/>
      <c r="D18" s="250"/>
      <c r="E18" s="170" t="s">
        <v>33</v>
      </c>
      <c r="F18" s="82" t="s">
        <v>20</v>
      </c>
      <c r="G18" s="83">
        <v>0.28</v>
      </c>
      <c r="H18" s="83">
        <v>0.3</v>
      </c>
      <c r="I18" s="171">
        <f>ROUND($E$3*G18*6,2)+ROUND($E$3*H18*($L$7-6),2)</f>
        <v>10358.220000000001</v>
      </c>
      <c r="J18" s="172"/>
      <c r="K18" s="173">
        <f>SUM(I18:J18)</f>
        <v>10358.220000000001</v>
      </c>
    </row>
    <row r="19" spans="1:11" ht="20.25" customHeight="1">
      <c r="A19" s="23"/>
      <c r="B19" s="249" t="s">
        <v>24</v>
      </c>
      <c r="C19" s="249"/>
      <c r="D19" s="249"/>
      <c r="E19" s="156" t="s">
        <v>156</v>
      </c>
      <c r="F19" s="46" t="s">
        <v>21</v>
      </c>
      <c r="G19" s="83">
        <v>0.99</v>
      </c>
      <c r="H19" s="83">
        <v>1.05</v>
      </c>
      <c r="I19" s="171">
        <f>K19-J19</f>
        <v>21989.33</v>
      </c>
      <c r="J19" s="172"/>
      <c r="K19" s="174">
        <v>21989.33</v>
      </c>
    </row>
    <row r="20" spans="1:11" ht="20.25" customHeight="1">
      <c r="A20" s="26"/>
      <c r="B20" s="248" t="s">
        <v>32</v>
      </c>
      <c r="C20" s="248"/>
      <c r="D20" s="248"/>
      <c r="E20" s="175" t="s">
        <v>9</v>
      </c>
      <c r="F20" s="85" t="s">
        <v>10</v>
      </c>
      <c r="G20" s="83">
        <v>0.51</v>
      </c>
      <c r="H20" s="83">
        <v>0.54</v>
      </c>
      <c r="I20" s="171">
        <f>ROUND($E$3*G20*6,2)+ROUND($E$3*H20*($L$7-6),2)</f>
        <v>18751.95</v>
      </c>
      <c r="J20" s="172"/>
      <c r="K20" s="173">
        <f>SUM(I20:J20)</f>
        <v>18751.95</v>
      </c>
    </row>
    <row r="21" spans="1:11" ht="65.25" customHeight="1">
      <c r="A21" s="23"/>
      <c r="B21" s="249" t="s">
        <v>28</v>
      </c>
      <c r="C21" s="249"/>
      <c r="D21" s="249"/>
      <c r="E21" s="156" t="s">
        <v>157</v>
      </c>
      <c r="F21" s="46" t="s">
        <v>26</v>
      </c>
      <c r="G21" s="83">
        <v>0.12</v>
      </c>
      <c r="H21" s="83">
        <v>0.13</v>
      </c>
      <c r="I21" s="171">
        <f>K21-J21</f>
        <v>2407.8</v>
      </c>
      <c r="J21" s="172"/>
      <c r="K21" s="174">
        <v>2407.8</v>
      </c>
    </row>
    <row r="22" spans="1:11" ht="20.25" customHeight="1">
      <c r="A22" s="26"/>
      <c r="B22" s="249" t="s">
        <v>11</v>
      </c>
      <c r="C22" s="249"/>
      <c r="D22" s="249"/>
      <c r="E22" s="156" t="s">
        <v>9</v>
      </c>
      <c r="F22" s="46" t="s">
        <v>12</v>
      </c>
      <c r="G22" s="83">
        <v>2.22</v>
      </c>
      <c r="H22" s="83">
        <v>2.35</v>
      </c>
      <c r="I22" s="171">
        <f>ROUND($E$3*G22*6,2)+ROUND($E$3*H22*($L$7-6),2)</f>
        <v>81615.63</v>
      </c>
      <c r="J22" s="172"/>
      <c r="K22" s="173">
        <f>SUM(I22:J22)</f>
        <v>81615.63</v>
      </c>
    </row>
    <row r="23" spans="1:11" ht="20.25" customHeight="1">
      <c r="A23" s="26"/>
      <c r="B23" s="249" t="s">
        <v>27</v>
      </c>
      <c r="C23" s="251"/>
      <c r="D23" s="251"/>
      <c r="E23" s="176" t="s">
        <v>13</v>
      </c>
      <c r="F23" s="79" t="s">
        <v>14</v>
      </c>
      <c r="G23" s="83">
        <v>0.05</v>
      </c>
      <c r="H23" s="83">
        <v>0.05</v>
      </c>
      <c r="I23" s="171">
        <f>K23-J23</f>
        <v>185.4</v>
      </c>
      <c r="J23" s="172"/>
      <c r="K23" s="174">
        <v>185.4</v>
      </c>
    </row>
    <row r="24" spans="1:11" ht="54" customHeight="1">
      <c r="A24" s="23"/>
      <c r="B24" s="249" t="s">
        <v>72</v>
      </c>
      <c r="C24" s="249"/>
      <c r="D24" s="249"/>
      <c r="E24" s="98" t="s">
        <v>245</v>
      </c>
      <c r="F24" s="119" t="s">
        <v>246</v>
      </c>
      <c r="G24" s="83">
        <v>2.15</v>
      </c>
      <c r="H24" s="83">
        <v>2.28</v>
      </c>
      <c r="I24" s="171">
        <f aca="true" t="shared" si="0" ref="I24:I29">ROUND($E$3*G24*6,2)+ROUND($E$3*H24*($L$7-6),2)</f>
        <v>79115.37</v>
      </c>
      <c r="J24" s="172"/>
      <c r="K24" s="173">
        <f>SUM(I24:J24)</f>
        <v>79115.37</v>
      </c>
    </row>
    <row r="25" spans="1:11" ht="26.25" customHeight="1">
      <c r="A25" s="23"/>
      <c r="B25" s="250" t="s">
        <v>15</v>
      </c>
      <c r="C25" s="250"/>
      <c r="D25" s="250"/>
      <c r="E25" s="170" t="s">
        <v>36</v>
      </c>
      <c r="F25" s="119" t="s">
        <v>246</v>
      </c>
      <c r="G25" s="83">
        <v>0.53</v>
      </c>
      <c r="H25" s="83">
        <v>0.56</v>
      </c>
      <c r="I25" s="171">
        <f>K25-J25</f>
        <v>14289.9</v>
      </c>
      <c r="J25" s="172"/>
      <c r="K25" s="173">
        <v>14289.9</v>
      </c>
    </row>
    <row r="26" spans="1:11" ht="30" customHeight="1">
      <c r="A26" s="23"/>
      <c r="B26" s="232" t="s">
        <v>37</v>
      </c>
      <c r="C26" s="254"/>
      <c r="D26" s="255"/>
      <c r="E26" s="170" t="s">
        <v>36</v>
      </c>
      <c r="F26" s="119" t="s">
        <v>246</v>
      </c>
      <c r="G26" s="102">
        <f>3.52-G27-G28</f>
        <v>3.23</v>
      </c>
      <c r="H26" s="83">
        <f>3.73-H27-H28</f>
        <v>3.42</v>
      </c>
      <c r="I26" s="171">
        <f t="shared" si="0"/>
        <v>118762.35</v>
      </c>
      <c r="J26" s="177"/>
      <c r="K26" s="173">
        <f>SUM(I26:J26)</f>
        <v>118762.35</v>
      </c>
    </row>
    <row r="27" spans="1:11" ht="26.25" customHeight="1">
      <c r="A27" s="26"/>
      <c r="B27" s="249" t="s">
        <v>158</v>
      </c>
      <c r="C27" s="249"/>
      <c r="D27" s="249"/>
      <c r="E27" s="156" t="s">
        <v>9</v>
      </c>
      <c r="F27" s="119" t="s">
        <v>246</v>
      </c>
      <c r="G27" s="102">
        <v>0.29</v>
      </c>
      <c r="H27" s="83">
        <v>0.31</v>
      </c>
      <c r="I27" s="171">
        <f t="shared" si="0"/>
        <v>10715.4</v>
      </c>
      <c r="J27" s="177"/>
      <c r="K27" s="173">
        <f>SUM(I27:J27)</f>
        <v>10715.4</v>
      </c>
    </row>
    <row r="28" spans="1:11" ht="17.25" customHeight="1">
      <c r="A28" s="23"/>
      <c r="B28" s="249" t="s">
        <v>159</v>
      </c>
      <c r="C28" s="249"/>
      <c r="D28" s="249"/>
      <c r="E28" s="156" t="s">
        <v>9</v>
      </c>
      <c r="F28" s="119" t="s">
        <v>246</v>
      </c>
      <c r="G28" s="102">
        <v>0</v>
      </c>
      <c r="H28" s="83">
        <v>0</v>
      </c>
      <c r="I28" s="171">
        <f t="shared" si="0"/>
        <v>0</v>
      </c>
      <c r="J28" s="177"/>
      <c r="K28" s="173">
        <f>SUM(I28:J28)</f>
        <v>0</v>
      </c>
    </row>
    <row r="29" spans="1:11" ht="30.75" customHeight="1">
      <c r="A29" s="23"/>
      <c r="B29" s="251" t="s">
        <v>22</v>
      </c>
      <c r="C29" s="251"/>
      <c r="D29" s="251"/>
      <c r="E29" s="99" t="s">
        <v>36</v>
      </c>
      <c r="F29" s="119" t="s">
        <v>246</v>
      </c>
      <c r="G29" s="79">
        <v>1.45</v>
      </c>
      <c r="H29" s="83">
        <v>1.54</v>
      </c>
      <c r="I29" s="171">
        <f t="shared" si="0"/>
        <v>53398.41</v>
      </c>
      <c r="J29" s="172"/>
      <c r="K29" s="173">
        <f>SUM(I29:J29)</f>
        <v>53398.41</v>
      </c>
    </row>
    <row r="30" spans="1:11" ht="15.75">
      <c r="A30" s="23"/>
      <c r="B30" s="235"/>
      <c r="C30" s="236"/>
      <c r="D30" s="237"/>
      <c r="E30" s="156"/>
      <c r="F30" s="119"/>
      <c r="G30" s="79"/>
      <c r="H30" s="79"/>
      <c r="I30" s="178"/>
      <c r="J30" s="118"/>
      <c r="K30" s="179"/>
    </row>
    <row r="31" spans="1:11" ht="15.75">
      <c r="A31" s="23"/>
      <c r="B31" s="279" t="s">
        <v>31</v>
      </c>
      <c r="C31" s="279"/>
      <c r="D31" s="279"/>
      <c r="E31" s="23"/>
      <c r="F31" s="119"/>
      <c r="G31" s="24">
        <f>SUM(G17:G29)</f>
        <v>13.039999999999997</v>
      </c>
      <c r="H31" s="24">
        <f>SUM(H17:H29)</f>
        <v>13.82</v>
      </c>
      <c r="I31" s="180">
        <f>SUM(I17:I30)</f>
        <v>456415.8500000001</v>
      </c>
      <c r="J31" s="168"/>
      <c r="K31" s="180">
        <f>SUM(K17:K30)</f>
        <v>456415.8500000001</v>
      </c>
    </row>
    <row r="32" spans="1:11" ht="15.75" hidden="1">
      <c r="A32" s="23"/>
      <c r="B32" s="253" t="s">
        <v>193</v>
      </c>
      <c r="C32" s="254"/>
      <c r="D32" s="255"/>
      <c r="E32" s="156" t="s">
        <v>9</v>
      </c>
      <c r="F32" s="119"/>
      <c r="G32" s="79"/>
      <c r="H32" s="79"/>
      <c r="I32" s="178"/>
      <c r="J32" s="118"/>
      <c r="K32" s="179"/>
    </row>
    <row r="33" spans="1:11" ht="21.75" customHeight="1" hidden="1">
      <c r="A33" s="23"/>
      <c r="B33" s="253" t="s">
        <v>194</v>
      </c>
      <c r="C33" s="254"/>
      <c r="D33" s="255"/>
      <c r="E33" s="170" t="s">
        <v>36</v>
      </c>
      <c r="F33" s="119"/>
      <c r="G33" s="79"/>
      <c r="H33" s="79"/>
      <c r="I33" s="178"/>
      <c r="J33" s="118"/>
      <c r="K33" s="179"/>
    </row>
    <row r="34" spans="1:11" ht="27.75" customHeight="1" hidden="1">
      <c r="A34" s="23"/>
      <c r="B34" s="235"/>
      <c r="C34" s="236"/>
      <c r="D34" s="237"/>
      <c r="E34" s="156"/>
      <c r="F34" s="119"/>
      <c r="G34" s="79"/>
      <c r="H34" s="79"/>
      <c r="I34" s="178"/>
      <c r="J34" s="118"/>
      <c r="K34" s="179"/>
    </row>
    <row r="35" spans="1:11" ht="26.25" customHeight="1">
      <c r="A35" s="23" t="s">
        <v>146</v>
      </c>
      <c r="B35" s="238" t="s">
        <v>160</v>
      </c>
      <c r="C35" s="239"/>
      <c r="D35" s="239"/>
      <c r="E35" s="240"/>
      <c r="F35" s="119" t="s">
        <v>246</v>
      </c>
      <c r="G35" s="24">
        <f>I35/E3/6</f>
        <v>6.4489053138473595</v>
      </c>
      <c r="H35" s="24">
        <f>I35/E3/6</f>
        <v>6.4489053138473595</v>
      </c>
      <c r="I35" s="181">
        <v>115171</v>
      </c>
      <c r="J35" s="182"/>
      <c r="K35" s="183">
        <f>SUM(I35:J35)</f>
        <v>115171</v>
      </c>
    </row>
    <row r="36" spans="1:11" ht="15" customHeight="1">
      <c r="A36" s="25"/>
      <c r="B36" s="230" t="s">
        <v>70</v>
      </c>
      <c r="C36" s="230"/>
      <c r="D36" s="230"/>
      <c r="E36" s="230"/>
      <c r="F36" s="230"/>
      <c r="G36" s="24">
        <f>SUM(G31:G35)</f>
        <v>19.488905313847358</v>
      </c>
      <c r="H36" s="24">
        <f>SUM(H31:H35)</f>
        <v>20.26890531384736</v>
      </c>
      <c r="I36" s="184">
        <f>SUM(I31:I35)</f>
        <v>571586.8500000001</v>
      </c>
      <c r="J36" s="185"/>
      <c r="K36" s="185">
        <f>SUM(K31:K35)</f>
        <v>571586.8500000001</v>
      </c>
    </row>
    <row r="37" spans="1:11" ht="14.25" customHeight="1">
      <c r="A37" s="23" t="s">
        <v>147</v>
      </c>
      <c r="B37" s="230" t="s">
        <v>161</v>
      </c>
      <c r="C37" s="230"/>
      <c r="D37" s="230"/>
      <c r="E37" s="230"/>
      <c r="F37" s="230"/>
      <c r="G37" s="24"/>
      <c r="H37" s="24"/>
      <c r="I37" s="186">
        <v>0</v>
      </c>
      <c r="J37" s="186"/>
      <c r="K37" s="183">
        <f>SUM(I37:J37)</f>
        <v>0</v>
      </c>
    </row>
    <row r="38" spans="1:11" ht="18.75">
      <c r="A38" s="25"/>
      <c r="B38" s="230" t="s">
        <v>162</v>
      </c>
      <c r="C38" s="230"/>
      <c r="D38" s="230"/>
      <c r="E38" s="230"/>
      <c r="F38" s="230"/>
      <c r="G38" s="24">
        <f>SUM(G36:G37)</f>
        <v>19.488905313847358</v>
      </c>
      <c r="H38" s="24">
        <f>SUM(H36:H37)</f>
        <v>20.26890531384736</v>
      </c>
      <c r="I38" s="184">
        <f>SUM(I36:I37)</f>
        <v>571586.8500000001</v>
      </c>
      <c r="J38" s="185"/>
      <c r="K38" s="185">
        <f>SUM(K36:K37)</f>
        <v>571586.8500000001</v>
      </c>
    </row>
    <row r="39" spans="1:11" ht="24.75" customHeight="1">
      <c r="A39" s="23">
        <v>3</v>
      </c>
      <c r="B39" s="280" t="s">
        <v>247</v>
      </c>
      <c r="C39" s="280"/>
      <c r="D39" s="280"/>
      <c r="E39" s="280"/>
      <c r="F39" s="187"/>
      <c r="G39" s="187"/>
      <c r="H39" s="188"/>
      <c r="I39" s="171">
        <f>I14-I38</f>
        <v>-202192.83000000007</v>
      </c>
      <c r="J39" s="171"/>
      <c r="K39" s="168">
        <f>K14-K38</f>
        <v>-175526.43000000005</v>
      </c>
    </row>
    <row r="40" spans="2:11" ht="27" customHeight="1">
      <c r="B40" s="144"/>
      <c r="C40" s="189"/>
      <c r="D40" s="189"/>
      <c r="E40" s="189"/>
      <c r="F40" s="189"/>
      <c r="G40" s="189"/>
      <c r="H40" s="189"/>
      <c r="I40" s="190"/>
      <c r="J40" s="191"/>
      <c r="K40" s="192"/>
    </row>
    <row r="41" spans="3:7" ht="15.75">
      <c r="C41" s="34"/>
      <c r="F41"/>
      <c r="G41" s="34"/>
    </row>
    <row r="42" spans="1:7" ht="15.75" customHeight="1">
      <c r="A42" s="71" t="s">
        <v>248</v>
      </c>
      <c r="D42" s="71"/>
      <c r="E42" s="71"/>
      <c r="F42" s="34"/>
      <c r="G42" s="34"/>
    </row>
    <row r="43" spans="2:6" ht="17.25" customHeight="1">
      <c r="B43" s="36" t="s">
        <v>79</v>
      </c>
      <c r="C43" s="34"/>
      <c r="D43" s="34"/>
      <c r="F43"/>
    </row>
    <row r="44" spans="2:9" ht="14.25" customHeight="1">
      <c r="B44" s="34" t="s">
        <v>249</v>
      </c>
      <c r="C44" s="34"/>
      <c r="D44" s="34"/>
      <c r="E44" s="34"/>
      <c r="F44" s="34"/>
      <c r="G44" s="34"/>
      <c r="H44" s="34"/>
      <c r="I44" s="34"/>
    </row>
    <row r="45" spans="2:6" ht="15.75" customHeight="1">
      <c r="B45" s="202" t="s">
        <v>88</v>
      </c>
      <c r="C45" s="202"/>
      <c r="D45" s="202"/>
      <c r="F45"/>
    </row>
    <row r="46" ht="15.75">
      <c r="F46"/>
    </row>
    <row r="47" ht="15.75">
      <c r="F47"/>
    </row>
  </sheetData>
  <mergeCells count="36">
    <mergeCell ref="B38:F38"/>
    <mergeCell ref="B37:F37"/>
    <mergeCell ref="B39:E39"/>
    <mergeCell ref="B45:D45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B7:D7"/>
    <mergeCell ref="I7:K7"/>
    <mergeCell ref="A1:K1"/>
    <mergeCell ref="A2:K2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F6" sqref="F6"/>
    </sheetView>
  </sheetViews>
  <sheetFormatPr defaultColWidth="9.00390625" defaultRowHeight="15.75"/>
  <cols>
    <col min="1" max="1" width="11.875" style="0" customWidth="1"/>
    <col min="2" max="2" width="6.125" style="0" customWidth="1"/>
    <col min="3" max="3" width="11.875" style="0" customWidth="1"/>
    <col min="4" max="4" width="10.50390625" style="0" customWidth="1"/>
    <col min="5" max="5" width="12.00390625" style="0" customWidth="1"/>
    <col min="6" max="6" width="12.125" style="0" customWidth="1"/>
    <col min="7" max="7" width="10.375" style="0" customWidth="1"/>
    <col min="8" max="8" width="11.75390625" style="0" customWidth="1"/>
    <col min="9" max="9" width="11.625" style="0" customWidth="1"/>
    <col min="10" max="10" width="11.375" style="0" customWidth="1"/>
    <col min="11" max="11" width="9.875" style="0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1.375" style="0" bestFit="1" customWidth="1"/>
    <col min="18" max="18" width="11.375" style="0" customWidth="1"/>
    <col min="19" max="19" width="11.875" style="0" customWidth="1"/>
  </cols>
  <sheetData>
    <row r="1" spans="1:19" ht="104.25" customHeight="1">
      <c r="A1" s="286" t="s">
        <v>257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5.75" customHeight="1">
      <c r="A2" s="259" t="s">
        <v>166</v>
      </c>
      <c r="B2" s="279" t="s">
        <v>167</v>
      </c>
      <c r="C2" s="279" t="s">
        <v>198</v>
      </c>
      <c r="D2" s="279"/>
      <c r="E2" s="279"/>
      <c r="F2" s="279"/>
      <c r="G2" s="279"/>
      <c r="H2" s="279"/>
      <c r="I2" s="279"/>
      <c r="J2" s="287" t="s">
        <v>199</v>
      </c>
      <c r="K2" s="287"/>
      <c r="L2" s="287"/>
      <c r="M2" s="288" t="s">
        <v>200</v>
      </c>
      <c r="N2" s="279" t="s">
        <v>168</v>
      </c>
      <c r="O2" s="279"/>
      <c r="P2" s="279"/>
      <c r="Q2" s="279"/>
      <c r="R2" s="279"/>
      <c r="S2" s="229" t="s">
        <v>212</v>
      </c>
    </row>
    <row r="3" spans="1:19" ht="15.75">
      <c r="A3" s="279"/>
      <c r="B3" s="279"/>
      <c r="C3" s="245" t="s">
        <v>169</v>
      </c>
      <c r="D3" s="246"/>
      <c r="E3" s="247"/>
      <c r="F3" s="245" t="s">
        <v>170</v>
      </c>
      <c r="G3" s="246"/>
      <c r="H3" s="247"/>
      <c r="I3" s="259" t="s">
        <v>171</v>
      </c>
      <c r="J3" s="281" t="s">
        <v>201</v>
      </c>
      <c r="K3" s="283" t="s">
        <v>202</v>
      </c>
      <c r="L3" s="281" t="s">
        <v>203</v>
      </c>
      <c r="M3" s="289"/>
      <c r="N3" s="259" t="s">
        <v>204</v>
      </c>
      <c r="O3" s="279" t="s">
        <v>172</v>
      </c>
      <c r="P3" s="279" t="s">
        <v>173</v>
      </c>
      <c r="Q3" s="279" t="s">
        <v>174</v>
      </c>
      <c r="R3" s="279" t="s">
        <v>175</v>
      </c>
      <c r="S3" s="229"/>
    </row>
    <row r="4" spans="1:19" ht="47.25" customHeight="1">
      <c r="A4" s="279"/>
      <c r="B4" s="279"/>
      <c r="C4" s="11" t="s">
        <v>176</v>
      </c>
      <c r="D4" s="23" t="s">
        <v>174</v>
      </c>
      <c r="E4" s="23" t="s">
        <v>175</v>
      </c>
      <c r="F4" s="11" t="s">
        <v>176</v>
      </c>
      <c r="G4" s="23" t="s">
        <v>174</v>
      </c>
      <c r="H4" s="23" t="s">
        <v>175</v>
      </c>
      <c r="I4" s="259"/>
      <c r="J4" s="282"/>
      <c r="K4" s="284"/>
      <c r="L4" s="282"/>
      <c r="M4" s="290"/>
      <c r="N4" s="279"/>
      <c r="O4" s="279"/>
      <c r="P4" s="279"/>
      <c r="Q4" s="279"/>
      <c r="R4" s="279"/>
      <c r="S4" s="229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205</v>
      </c>
      <c r="F5" s="11">
        <v>6</v>
      </c>
      <c r="G5" s="23">
        <v>7</v>
      </c>
      <c r="H5" s="23" t="s">
        <v>206</v>
      </c>
      <c r="I5" s="11" t="s">
        <v>207</v>
      </c>
      <c r="J5" s="23">
        <v>10</v>
      </c>
      <c r="K5" s="23">
        <v>11</v>
      </c>
      <c r="L5" s="11">
        <v>12</v>
      </c>
      <c r="M5" s="11" t="s">
        <v>208</v>
      </c>
      <c r="N5" s="23">
        <v>14</v>
      </c>
      <c r="O5" s="11">
        <v>15</v>
      </c>
      <c r="P5" s="23">
        <v>16</v>
      </c>
      <c r="Q5" s="23">
        <v>17</v>
      </c>
      <c r="R5" s="11" t="s">
        <v>209</v>
      </c>
      <c r="S5" s="121" t="s">
        <v>210</v>
      </c>
    </row>
    <row r="6" spans="1:19" ht="15.75">
      <c r="A6" s="104"/>
      <c r="B6" s="53" t="s">
        <v>177</v>
      </c>
      <c r="C6" s="104">
        <f>'2008'!D9</f>
        <v>152904.29</v>
      </c>
      <c r="D6" s="104">
        <f>'2008'!D13</f>
        <v>9369.38</v>
      </c>
      <c r="E6" s="104">
        <f>SUM(C6:D6)</f>
        <v>162273.67</v>
      </c>
      <c r="F6" s="104">
        <f>'2008'!D10</f>
        <v>143845.34</v>
      </c>
      <c r="G6" s="104">
        <f>'2008'!D14</f>
        <v>8727.02</v>
      </c>
      <c r="H6" s="104">
        <f>SUM(F6:G6)</f>
        <v>152572.36</v>
      </c>
      <c r="I6" s="55">
        <f>E6-H6</f>
        <v>9701.310000000027</v>
      </c>
      <c r="J6" s="104">
        <v>0</v>
      </c>
      <c r="K6" s="104">
        <v>0</v>
      </c>
      <c r="L6" s="104">
        <v>0</v>
      </c>
      <c r="M6" s="104">
        <f>H6+J6+K6+L6</f>
        <v>152572.36</v>
      </c>
      <c r="N6" s="104">
        <f>'2008'!D23</f>
        <v>16819.4719</v>
      </c>
      <c r="O6" s="104">
        <f>'2008'!D24</f>
        <v>107033.003</v>
      </c>
      <c r="P6" s="104">
        <f>'2008'!D25</f>
        <v>110.8</v>
      </c>
      <c r="Q6" s="55">
        <v>0</v>
      </c>
      <c r="R6" s="104">
        <f>SUM(N6:Q6)</f>
        <v>123963.2749</v>
      </c>
      <c r="S6" s="104">
        <f>M6-R6</f>
        <v>28609.085099999982</v>
      </c>
    </row>
    <row r="7" spans="1:19" ht="15.75">
      <c r="A7" s="104">
        <f>S6</f>
        <v>28609.085099999982</v>
      </c>
      <c r="B7" s="53" t="s">
        <v>178</v>
      </c>
      <c r="C7" s="104">
        <v>303418.39</v>
      </c>
      <c r="D7" s="104">
        <v>15584.12</v>
      </c>
      <c r="E7" s="104">
        <f>SUM(C7:D7)</f>
        <v>319002.51</v>
      </c>
      <c r="F7" s="104">
        <v>302516.37</v>
      </c>
      <c r="G7" s="104">
        <v>15441.95</v>
      </c>
      <c r="H7" s="104">
        <f>SUM(F7:G7)</f>
        <v>317958.32</v>
      </c>
      <c r="I7" s="55">
        <f>E7-H7</f>
        <v>1044.1900000000023</v>
      </c>
      <c r="J7" s="104">
        <v>0</v>
      </c>
      <c r="K7" s="104">
        <v>0</v>
      </c>
      <c r="L7" s="104">
        <v>0</v>
      </c>
      <c r="M7" s="104">
        <f>H7+J7+K7+L7</f>
        <v>317958.32</v>
      </c>
      <c r="N7" s="104">
        <f>'отчет 2009'!H31</f>
        <v>33037.2</v>
      </c>
      <c r="O7" s="104">
        <f>'отчет 2009'!H32-'отчет 2009'!H31</f>
        <v>263248.8</v>
      </c>
      <c r="P7" s="104">
        <f>'отчет 2009'!H33</f>
        <v>37800</v>
      </c>
      <c r="Q7" s="55">
        <v>0</v>
      </c>
      <c r="R7" s="104">
        <f>SUM(N7:Q7)</f>
        <v>334086</v>
      </c>
      <c r="S7" s="104">
        <f>M7-R7</f>
        <v>-16127.679999999993</v>
      </c>
    </row>
    <row r="8" spans="1:19" ht="15.75">
      <c r="A8" s="104">
        <f>A7+S7</f>
        <v>12481.405099999989</v>
      </c>
      <c r="B8" s="53" t="s">
        <v>179</v>
      </c>
      <c r="C8" s="104">
        <v>310703.4</v>
      </c>
      <c r="D8" s="104">
        <v>15669.68</v>
      </c>
      <c r="E8" s="104">
        <f>SUM(C8:D8)</f>
        <v>326373.08</v>
      </c>
      <c r="F8" s="104">
        <f>'отчет 2010'!H10</f>
        <v>304709.69</v>
      </c>
      <c r="G8" s="104">
        <f>'отчет 2010'!H11</f>
        <v>15359.18</v>
      </c>
      <c r="H8" s="104">
        <f>SUM(F8:G8)</f>
        <v>320068.87</v>
      </c>
      <c r="I8" s="55">
        <f>E8-H8</f>
        <v>6304.210000000021</v>
      </c>
      <c r="J8" s="104">
        <f>'отчет 2010'!I12</f>
        <v>70148.24</v>
      </c>
      <c r="K8" s="104">
        <v>0</v>
      </c>
      <c r="L8" s="104">
        <v>0</v>
      </c>
      <c r="M8" s="104">
        <f>H8+J8+K8+L8</f>
        <v>390217.11</v>
      </c>
      <c r="N8" s="104">
        <f>'отчет 2010'!J29</f>
        <v>40052.024</v>
      </c>
      <c r="O8" s="104">
        <f>'отчет 2010'!J34-'отчет 2010'!J29</f>
        <v>295181.06200000003</v>
      </c>
      <c r="P8" s="104">
        <f>'отчет 2010'!H35</f>
        <v>56580</v>
      </c>
      <c r="Q8" s="55">
        <v>0</v>
      </c>
      <c r="R8" s="104">
        <f>SUM(N8:Q8)</f>
        <v>391813.086</v>
      </c>
      <c r="S8" s="104">
        <f>M8-R8</f>
        <v>-1595.9760000000242</v>
      </c>
    </row>
    <row r="9" spans="1:19" ht="15.75">
      <c r="A9" s="104">
        <f>A8+S8</f>
        <v>10885.429099999965</v>
      </c>
      <c r="B9" s="53" t="s">
        <v>180</v>
      </c>
      <c r="C9" s="104">
        <v>350910.76</v>
      </c>
      <c r="D9" s="104">
        <v>18037.75</v>
      </c>
      <c r="E9" s="104">
        <f>SUM(C9:D9)</f>
        <v>368948.51</v>
      </c>
      <c r="F9" s="104">
        <f>'отчет 2011'!H10</f>
        <v>345078.87</v>
      </c>
      <c r="G9" s="104">
        <f>'отчет 2011'!H11</f>
        <v>17810.31</v>
      </c>
      <c r="H9" s="104">
        <f>SUM(F9:G9)</f>
        <v>362889.18</v>
      </c>
      <c r="I9" s="55">
        <f>E9-H9</f>
        <v>6059.330000000016</v>
      </c>
      <c r="J9" s="104">
        <f>'отчет 2011'!I12</f>
        <v>39999.6</v>
      </c>
      <c r="K9" s="104"/>
      <c r="L9" s="104">
        <f>'отчет 2011'!H13</f>
        <v>1205285</v>
      </c>
      <c r="M9" s="104">
        <f>H9+J9+K9+L9</f>
        <v>1608173.78</v>
      </c>
      <c r="N9" s="104">
        <f>'отчет 2011'!J29</f>
        <v>42018.96</v>
      </c>
      <c r="O9" s="104">
        <f>'отчет 2011'!J33-'отчет 2011'!J29</f>
        <v>320948.21</v>
      </c>
      <c r="P9" s="104">
        <f>'отчет 2011'!J37</f>
        <v>52795</v>
      </c>
      <c r="Q9" s="55">
        <f>'отчет 2011'!J39</f>
        <v>1269090</v>
      </c>
      <c r="R9" s="104">
        <f>SUM(N9:Q9)</f>
        <v>1684852.17</v>
      </c>
      <c r="S9" s="104">
        <f>M9-R9</f>
        <v>-76678.3899999999</v>
      </c>
    </row>
    <row r="10" spans="1:19" ht="15.75">
      <c r="A10" s="104">
        <f>A9+S9</f>
        <v>-65792.96089999993</v>
      </c>
      <c r="B10" s="53" t="s">
        <v>196</v>
      </c>
      <c r="C10" s="104">
        <v>359930</v>
      </c>
      <c r="D10" s="104">
        <v>351500.77</v>
      </c>
      <c r="E10" s="104">
        <f>SUM(C10:D10)</f>
        <v>711430.77</v>
      </c>
      <c r="F10" s="104">
        <f>отчет12стар!I10</f>
        <v>351500.77</v>
      </c>
      <c r="G10" s="104">
        <f>отчет12стар!I11</f>
        <v>17893.25</v>
      </c>
      <c r="H10" s="104">
        <f>SUM(F10:G10)</f>
        <v>369394.02</v>
      </c>
      <c r="I10" s="55">
        <f>E10-H10</f>
        <v>342036.75</v>
      </c>
      <c r="J10" s="104">
        <f>отчет12стар!J12</f>
        <v>26666.4</v>
      </c>
      <c r="K10" s="104">
        <v>0</v>
      </c>
      <c r="L10" s="104">
        <v>0</v>
      </c>
      <c r="M10" s="104">
        <f>H10+J10+K10+L10</f>
        <v>396060.42000000004</v>
      </c>
      <c r="N10" s="104">
        <f>отчет12стар!K29</f>
        <v>53398.41</v>
      </c>
      <c r="O10" s="104">
        <f>отчет12стар!K31-отчет12стар!K29</f>
        <v>403017.44000000006</v>
      </c>
      <c r="P10" s="104">
        <f>отчет12стар!I35</f>
        <v>115171</v>
      </c>
      <c r="Q10" s="55">
        <v>0</v>
      </c>
      <c r="R10" s="104">
        <f>SUM(N10:Q10)</f>
        <v>571586.8500000001</v>
      </c>
      <c r="S10" s="104">
        <f>M10-R10</f>
        <v>-175526.43000000005</v>
      </c>
    </row>
    <row r="11" spans="1:19" ht="15.75">
      <c r="A11" s="53"/>
      <c r="B11" s="53" t="s">
        <v>211</v>
      </c>
      <c r="C11" s="32">
        <f aca="true" t="shared" si="0" ref="C11:S11">SUM(C6:C10)</f>
        <v>1477866.84</v>
      </c>
      <c r="D11" s="32">
        <f t="shared" si="0"/>
        <v>410161.7</v>
      </c>
      <c r="E11" s="32">
        <f t="shared" si="0"/>
        <v>1888028.54</v>
      </c>
      <c r="F11" s="32">
        <f t="shared" si="0"/>
        <v>1447651.04</v>
      </c>
      <c r="G11" s="32">
        <f t="shared" si="0"/>
        <v>75231.71</v>
      </c>
      <c r="H11" s="32">
        <f t="shared" si="0"/>
        <v>1522882.75</v>
      </c>
      <c r="I11" s="32">
        <f t="shared" si="0"/>
        <v>365145.79000000004</v>
      </c>
      <c r="J11" s="32">
        <f t="shared" si="0"/>
        <v>136814.24</v>
      </c>
      <c r="K11" s="32">
        <f t="shared" si="0"/>
        <v>0</v>
      </c>
      <c r="L11" s="32">
        <f t="shared" si="0"/>
        <v>1205285</v>
      </c>
      <c r="M11" s="32">
        <f t="shared" si="0"/>
        <v>2864981.99</v>
      </c>
      <c r="N11" s="32">
        <f t="shared" si="0"/>
        <v>185326.0659</v>
      </c>
      <c r="O11" s="32">
        <f t="shared" si="0"/>
        <v>1389428.5150000001</v>
      </c>
      <c r="P11" s="32">
        <f t="shared" si="0"/>
        <v>262456.8</v>
      </c>
      <c r="Q11" s="32">
        <f t="shared" si="0"/>
        <v>1269090</v>
      </c>
      <c r="R11" s="32">
        <f t="shared" si="0"/>
        <v>3106301.3808999998</v>
      </c>
      <c r="S11" s="32">
        <f t="shared" si="0"/>
        <v>-241319.3909</v>
      </c>
    </row>
    <row r="13" spans="1:8" ht="18.75" customHeight="1">
      <c r="A13" s="285" t="s">
        <v>250</v>
      </c>
      <c r="B13" s="285"/>
      <c r="C13" s="285"/>
      <c r="D13" s="285"/>
      <c r="E13" s="285" t="s">
        <v>251</v>
      </c>
      <c r="F13" s="285"/>
      <c r="G13" s="285"/>
      <c r="H13" s="285"/>
    </row>
    <row r="14" spans="1:8" ht="18.75">
      <c r="A14" s="193"/>
      <c r="B14" s="193"/>
      <c r="C14" s="193"/>
      <c r="D14" s="193"/>
      <c r="E14" s="193"/>
      <c r="F14" s="193"/>
      <c r="G14" s="193"/>
      <c r="H14" s="193"/>
    </row>
    <row r="15" spans="1:8" ht="18.75">
      <c r="A15" s="194"/>
      <c r="B15" s="195"/>
      <c r="C15" s="195"/>
      <c r="D15" s="194"/>
      <c r="E15" s="194"/>
      <c r="F15" s="194"/>
      <c r="G15" s="194"/>
      <c r="H15" s="194"/>
    </row>
    <row r="16" spans="1:8" ht="18.75">
      <c r="A16" s="193" t="s">
        <v>252</v>
      </c>
      <c r="B16" s="193"/>
      <c r="C16" s="193"/>
      <c r="D16" s="194"/>
      <c r="E16" s="194"/>
      <c r="F16" s="194"/>
      <c r="G16" s="194"/>
      <c r="H16" s="194"/>
    </row>
    <row r="17" spans="1:8" ht="18.75">
      <c r="A17" s="193" t="s">
        <v>253</v>
      </c>
      <c r="B17" s="193"/>
      <c r="C17" s="193"/>
      <c r="D17" s="193"/>
      <c r="E17" s="193"/>
      <c r="F17" s="194"/>
      <c r="G17" s="194"/>
      <c r="H17" s="194"/>
    </row>
    <row r="18" spans="1:8" ht="18.75" customHeight="1">
      <c r="A18" s="34" t="s">
        <v>254</v>
      </c>
      <c r="B18" s="34"/>
      <c r="C18" s="34"/>
      <c r="D18" s="34"/>
      <c r="E18" s="285" t="s">
        <v>255</v>
      </c>
      <c r="F18" s="285"/>
      <c r="G18" s="285"/>
      <c r="H18" s="194"/>
    </row>
    <row r="19" spans="1:8" ht="15.75">
      <c r="A19" s="194"/>
      <c r="B19" s="194"/>
      <c r="C19" s="194"/>
      <c r="D19" s="194"/>
      <c r="E19" s="194"/>
      <c r="F19" s="194"/>
      <c r="G19" s="194"/>
      <c r="H19" s="194"/>
    </row>
    <row r="20" spans="1:8" ht="15.75">
      <c r="A20" s="194"/>
      <c r="B20" s="194"/>
      <c r="C20" s="194"/>
      <c r="D20" s="194"/>
      <c r="E20" s="194"/>
      <c r="F20" s="194"/>
      <c r="G20" s="194"/>
      <c r="H20" s="194"/>
    </row>
    <row r="21" spans="1:8" ht="15.75">
      <c r="A21" s="194"/>
      <c r="B21" s="194"/>
      <c r="C21" s="194"/>
      <c r="D21" s="194"/>
      <c r="E21" s="194"/>
      <c r="F21" s="194"/>
      <c r="G21" s="194"/>
      <c r="H21" s="194"/>
    </row>
    <row r="22" spans="1:8" ht="15.75">
      <c r="A22" s="194" t="s">
        <v>256</v>
      </c>
      <c r="B22" s="194"/>
      <c r="C22" s="194"/>
      <c r="D22" s="194"/>
      <c r="E22" s="194"/>
      <c r="F22" s="194"/>
      <c r="G22" s="194"/>
      <c r="H22" s="194"/>
    </row>
  </sheetData>
  <mergeCells count="22">
    <mergeCell ref="A13:D13"/>
    <mergeCell ref="E13:H13"/>
    <mergeCell ref="E18:G18"/>
    <mergeCell ref="A1:S1"/>
    <mergeCell ref="J2:L2"/>
    <mergeCell ref="M2:M4"/>
    <mergeCell ref="N2:R2"/>
    <mergeCell ref="S2:S4"/>
    <mergeCell ref="O3:O4"/>
    <mergeCell ref="P3:P4"/>
    <mergeCell ref="Q3:Q4"/>
    <mergeCell ref="R3:R4"/>
    <mergeCell ref="K3:K4"/>
    <mergeCell ref="L3:L4"/>
    <mergeCell ref="N3:N4"/>
    <mergeCell ref="J3:J4"/>
    <mergeCell ref="A2:A4"/>
    <mergeCell ref="B2:B4"/>
    <mergeCell ref="C2:I2"/>
    <mergeCell ref="C3:E3"/>
    <mergeCell ref="F3:H3"/>
    <mergeCell ref="I3:I4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2013-03-14T09:17:43Z</cp:lastPrinted>
  <dcterms:created xsi:type="dcterms:W3CDTF">2009-08-26T03:25:10Z</dcterms:created>
  <dcterms:modified xsi:type="dcterms:W3CDTF">2013-03-28T09:30:38Z</dcterms:modified>
  <cp:category/>
  <cp:version/>
  <cp:contentType/>
  <cp:contentStatus/>
</cp:coreProperties>
</file>